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DeTrabalho"/>
  <mc:AlternateContent xmlns:mc="http://schemas.openxmlformats.org/markup-compatibility/2006">
    <mc:Choice Requires="x15">
      <x15ac:absPath xmlns:x15ac="http://schemas.microsoft.com/office/spreadsheetml/2010/11/ac" url="U:\COPELI\Area_compartilhada\LICITAÇÕES EM ANDAMENTO\2021\062-2021\J F A\docs 07.07\"/>
    </mc:Choice>
  </mc:AlternateContent>
  <bookViews>
    <workbookView xWindow="-120" yWindow="-120" windowWidth="29040" windowHeight="15840" tabRatio="858" activeTab="3"/>
  </bookViews>
  <sheets>
    <sheet name="Composições" sheetId="5" r:id="rId1"/>
    <sheet name="Comp.Aux1" sheetId="6" r:id="rId2"/>
    <sheet name="Comp.Aux2" sheetId="7" r:id="rId3"/>
    <sheet name="Orçamentária" sheetId="8" r:id="rId4"/>
    <sheet name="BDI" sheetId="9" r:id="rId5"/>
  </sheets>
  <definedNames>
    <definedName name="_xlnm._FilterDatabase" localSheetId="1" hidden="1">'Comp.Aux1'!$A$5:$I$459</definedName>
    <definedName name="_xlnm._FilterDatabase" localSheetId="2" hidden="1">'Comp.Aux2'!$A$5:$I$83</definedName>
    <definedName name="_xlnm._FilterDatabase" localSheetId="0" hidden="1">Composições!$A$5:$J$5161</definedName>
    <definedName name="_xlnm._FilterDatabase" localSheetId="3" hidden="1">Orçamentária!$A$5:$I$1357</definedName>
    <definedName name="_xlnm.Print_Area" localSheetId="1">'Comp.Aux1'!$A$2:$G$426</definedName>
    <definedName name="_xlnm.Print_Area" localSheetId="2">'Comp.Aux2'!$A$1:$G$91</definedName>
    <definedName name="_xlnm.Print_Area" localSheetId="0">Composições!$A$1:$H$5159</definedName>
    <definedName name="_xlnm.Print_Area" localSheetId="3">Orçamentária!$A$1:$I$1362</definedName>
    <definedName name="Arial">#REF!</definedName>
    <definedName name="_xlnm.Print_Titles" localSheetId="1">'Comp.Aux1'!$1:$5</definedName>
    <definedName name="_xlnm.Print_Titles" localSheetId="2">'Comp.Aux2'!$1:$5</definedName>
    <definedName name="_xlnm.Print_Titles" localSheetId="0">Composições!$1:$5</definedName>
    <definedName name="_xlnm.Print_Titles" localSheetId="3">Orçamentária!$1:$5</definedName>
  </definedNames>
  <calcPr calcId="15251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056" i="5" l="1"/>
  <c r="E5059" i="5"/>
  <c r="E5062" i="5"/>
  <c r="E5063" i="5"/>
  <c r="B6" i="5"/>
  <c r="B10" i="5"/>
  <c r="B14" i="5"/>
  <c r="B18" i="5"/>
  <c r="B23" i="5"/>
  <c r="B28" i="5"/>
  <c r="B33" i="5"/>
  <c r="B37" i="5"/>
  <c r="B42" i="5"/>
  <c r="B47" i="5"/>
  <c r="B52" i="5"/>
  <c r="B59" i="5"/>
  <c r="B64" i="5"/>
  <c r="B69" i="5"/>
  <c r="B77" i="5"/>
  <c r="B82" i="5"/>
  <c r="B87" i="5"/>
  <c r="B92" i="5"/>
  <c r="B97" i="5"/>
  <c r="B102" i="5"/>
  <c r="B106" i="5"/>
  <c r="B111" i="5"/>
  <c r="B116" i="5"/>
  <c r="B120" i="5"/>
  <c r="B125" i="5"/>
  <c r="B130" i="5"/>
  <c r="B134" i="5"/>
  <c r="B138" i="5"/>
  <c r="B143" i="5"/>
  <c r="B148" i="5"/>
  <c r="B153" i="5"/>
  <c r="B160" i="5"/>
  <c r="B165" i="5"/>
  <c r="B170" i="5"/>
  <c r="B174" i="5"/>
  <c r="B178" i="5"/>
  <c r="B182" i="5"/>
  <c r="B189" i="5"/>
  <c r="B196" i="5"/>
  <c r="B200" i="5"/>
  <c r="B204" i="5"/>
  <c r="B209" i="5"/>
  <c r="B213" i="5"/>
  <c r="B218" i="5"/>
  <c r="B223" i="5"/>
  <c r="B227" i="5"/>
  <c r="B231" i="5"/>
  <c r="B235" i="5"/>
  <c r="B239" i="5"/>
  <c r="B247" i="5"/>
  <c r="B262" i="5"/>
  <c r="B267" i="5"/>
  <c r="B275" i="5"/>
  <c r="B282" i="5"/>
  <c r="B289" i="5"/>
  <c r="B304" i="5"/>
  <c r="B319" i="5"/>
  <c r="B325" i="5"/>
  <c r="B340" i="5"/>
  <c r="B350" i="5"/>
  <c r="B364" i="5"/>
  <c r="B370" i="5"/>
  <c r="B379" i="5"/>
  <c r="B393" i="5"/>
  <c r="B400" i="5"/>
  <c r="B414" i="5"/>
  <c r="B421" i="5"/>
  <c r="B433" i="5"/>
  <c r="B439" i="5"/>
  <c r="B445" i="5"/>
  <c r="B453" i="5"/>
  <c r="B463" i="5"/>
  <c r="B470" i="5"/>
  <c r="B482" i="5"/>
  <c r="B488" i="5"/>
  <c r="B496" i="5"/>
  <c r="B503" i="5"/>
  <c r="B510" i="5"/>
  <c r="B516" i="5"/>
  <c r="B525" i="5"/>
  <c r="B534" i="5"/>
  <c r="B540" i="5"/>
  <c r="B548" i="5"/>
  <c r="B556" i="5"/>
  <c r="B564" i="5"/>
  <c r="B572" i="5"/>
  <c r="B582" i="5"/>
  <c r="B591" i="5"/>
  <c r="B599" i="5"/>
  <c r="B609" i="5"/>
  <c r="B618" i="5"/>
  <c r="B624" i="5"/>
  <c r="B632" i="5"/>
  <c r="B640" i="5"/>
  <c r="B647" i="5"/>
  <c r="B651" i="5"/>
  <c r="B655" i="5"/>
  <c r="B659" i="5"/>
  <c r="B663" i="5"/>
  <c r="B667" i="5"/>
  <c r="B671" i="5"/>
  <c r="B679" i="5"/>
  <c r="B689" i="5"/>
  <c r="B697" i="5"/>
  <c r="B705" i="5"/>
  <c r="B715" i="5"/>
  <c r="B724" i="5"/>
  <c r="B731" i="5"/>
  <c r="B737" i="5"/>
  <c r="B745" i="5"/>
  <c r="B749" i="5"/>
  <c r="B756" i="5"/>
  <c r="B767" i="5"/>
  <c r="B773" i="5"/>
  <c r="B784" i="5"/>
  <c r="B791" i="5"/>
  <c r="B805" i="5"/>
  <c r="B815" i="5"/>
  <c r="B819" i="5"/>
  <c r="B824" i="5"/>
  <c r="B828" i="5"/>
  <c r="B833" i="5"/>
  <c r="B840" i="5"/>
  <c r="B846" i="5"/>
  <c r="B851" i="5"/>
  <c r="B857" i="5"/>
  <c r="B864" i="5"/>
  <c r="B870" i="5"/>
  <c r="B878" i="5"/>
  <c r="B885" i="5"/>
  <c r="B892" i="5"/>
  <c r="B897" i="5"/>
  <c r="B904" i="5"/>
  <c r="B908" i="5"/>
  <c r="B914" i="5"/>
  <c r="B923" i="5"/>
  <c r="B930" i="5"/>
  <c r="B939" i="5"/>
  <c r="B948" i="5"/>
  <c r="B954" i="5"/>
  <c r="B960" i="5"/>
  <c r="B967" i="5"/>
  <c r="B974" i="5"/>
  <c r="B981" i="5"/>
  <c r="B992" i="5"/>
  <c r="B1003" i="5"/>
  <c r="B1008" i="5"/>
  <c r="B1013" i="5"/>
  <c r="B1022" i="5"/>
  <c r="B1027" i="5"/>
  <c r="B1037" i="5"/>
  <c r="B1046" i="5"/>
  <c r="B1053" i="5"/>
  <c r="B1060" i="5"/>
  <c r="B1067" i="5"/>
  <c r="B1074" i="5"/>
  <c r="B1083" i="5"/>
  <c r="B1091" i="5"/>
  <c r="B1099" i="5"/>
  <c r="B1109" i="5"/>
  <c r="B1117" i="5"/>
  <c r="B1122" i="5"/>
  <c r="B1127" i="5"/>
  <c r="B1133" i="5"/>
  <c r="B1138" i="5"/>
  <c r="B1145" i="5"/>
  <c r="B1152" i="5"/>
  <c r="B1159" i="5"/>
  <c r="B1166" i="5"/>
  <c r="B1173" i="5"/>
  <c r="B1180" i="5"/>
  <c r="B1187" i="5"/>
  <c r="B1194" i="5"/>
  <c r="B1201" i="5"/>
  <c r="B1208" i="5"/>
  <c r="B1215" i="5"/>
  <c r="B1222" i="5"/>
  <c r="B1229" i="5"/>
  <c r="B1236" i="5"/>
  <c r="B1243" i="5"/>
  <c r="B1250" i="5"/>
  <c r="B1257" i="5"/>
  <c r="B1264" i="5"/>
  <c r="B1271" i="5"/>
  <c r="B1277" i="5"/>
  <c r="B1284" i="5"/>
  <c r="B1291" i="5"/>
  <c r="B1298" i="5"/>
  <c r="B1305" i="5"/>
  <c r="B1313" i="5"/>
  <c r="B1322" i="5"/>
  <c r="B1327" i="5"/>
  <c r="B1333" i="5"/>
  <c r="B1339" i="5"/>
  <c r="B1345" i="5"/>
  <c r="B1352" i="5"/>
  <c r="B1358" i="5"/>
  <c r="B1365" i="5"/>
  <c r="B1371" i="5"/>
  <c r="B1377" i="5"/>
  <c r="B1383" i="5"/>
  <c r="B1389" i="5"/>
  <c r="B1395" i="5"/>
  <c r="B1401" i="5"/>
  <c r="B1408" i="5"/>
  <c r="B1423" i="5"/>
  <c r="B1438" i="5"/>
  <c r="B1453" i="5"/>
  <c r="B1468" i="5"/>
  <c r="B1483" i="5"/>
  <c r="B1498" i="5"/>
  <c r="B1513" i="5"/>
  <c r="B1521" i="5"/>
  <c r="B1529" i="5"/>
  <c r="B1537" i="5"/>
  <c r="B1545" i="5"/>
  <c r="B1553" i="5"/>
  <c r="B1560" i="5"/>
  <c r="B1567" i="5"/>
  <c r="B1574" i="5"/>
  <c r="B1581" i="5"/>
  <c r="B1596" i="5"/>
  <c r="B1602" i="5"/>
  <c r="B1608" i="5"/>
  <c r="B1614" i="5"/>
  <c r="B1621" i="5"/>
  <c r="B1626" i="5"/>
  <c r="B1632" i="5"/>
  <c r="B1638" i="5"/>
  <c r="B1643" i="5"/>
  <c r="B1649" i="5"/>
  <c r="B1655" i="5"/>
  <c r="B1661" i="5"/>
  <c r="B1667" i="5"/>
  <c r="B1672" i="5"/>
  <c r="B1677" i="5"/>
  <c r="B1682" i="5"/>
  <c r="B1688" i="5"/>
  <c r="B1695" i="5"/>
  <c r="B1702" i="5"/>
  <c r="B1708" i="5"/>
  <c r="B1716" i="5"/>
  <c r="B1727" i="5"/>
  <c r="B1738" i="5"/>
  <c r="B1749" i="5"/>
  <c r="B1760" i="5"/>
  <c r="B1767" i="5"/>
  <c r="B1774" i="5"/>
  <c r="B1781" i="5"/>
  <c r="B1788" i="5"/>
  <c r="B1795" i="5"/>
  <c r="B1802" i="5"/>
  <c r="B1809" i="5"/>
  <c r="B1816" i="5"/>
  <c r="B1821" i="5"/>
  <c r="B1826" i="5"/>
  <c r="B1832" i="5"/>
  <c r="B1838" i="5"/>
  <c r="B1845" i="5"/>
  <c r="B1851" i="5"/>
  <c r="B1857" i="5"/>
  <c r="B1863" i="5"/>
  <c r="B1869" i="5"/>
  <c r="B1875" i="5"/>
  <c r="B1881" i="5"/>
  <c r="B1887" i="5"/>
  <c r="B1893" i="5"/>
  <c r="B1899" i="5"/>
  <c r="B1905" i="5"/>
  <c r="B1911" i="5"/>
  <c r="B1917" i="5"/>
  <c r="B1922" i="5"/>
  <c r="B1927" i="5"/>
  <c r="B1932" i="5"/>
  <c r="B1938" i="5"/>
  <c r="B1943" i="5"/>
  <c r="B1948" i="5"/>
  <c r="B1953" i="5"/>
  <c r="B1959" i="5"/>
  <c r="B1965" i="5"/>
  <c r="B1972" i="5"/>
  <c r="B1979" i="5"/>
  <c r="B1987" i="5"/>
  <c r="B1995" i="5"/>
  <c r="B2002" i="5"/>
  <c r="B2009" i="5"/>
  <c r="B2016" i="5"/>
  <c r="B2023" i="5"/>
  <c r="B2029" i="5"/>
  <c r="B2037" i="5"/>
  <c r="B2045" i="5"/>
  <c r="B2053" i="5"/>
  <c r="B2061" i="5"/>
  <c r="B2069" i="5"/>
  <c r="B2077" i="5"/>
  <c r="B2085" i="5"/>
  <c r="B2093" i="5"/>
  <c r="B2101" i="5"/>
  <c r="B2109" i="5"/>
  <c r="B2117" i="5"/>
  <c r="B2123" i="5"/>
  <c r="B2129" i="5"/>
  <c r="B2135" i="5"/>
  <c r="B2141" i="5"/>
  <c r="B2147" i="5"/>
  <c r="B2155" i="5"/>
  <c r="B2163" i="5"/>
  <c r="B2171" i="5"/>
  <c r="B2179" i="5"/>
  <c r="B2187" i="5"/>
  <c r="B2195" i="5"/>
  <c r="B2203" i="5"/>
  <c r="B2211" i="5"/>
  <c r="B2216" i="5"/>
  <c r="B2223" i="5"/>
  <c r="B2229" i="5"/>
  <c r="B2235" i="5"/>
  <c r="B2241" i="5"/>
  <c r="B2257" i="5"/>
  <c r="B2263" i="5"/>
  <c r="B2275" i="5"/>
  <c r="B2287" i="5"/>
  <c r="B2299" i="5"/>
  <c r="B2311" i="5"/>
  <c r="B2323" i="5"/>
  <c r="B2330" i="5"/>
  <c r="B2337" i="5"/>
  <c r="B2343" i="5"/>
  <c r="B2349" i="5"/>
  <c r="B2355" i="5"/>
  <c r="B2361" i="5"/>
  <c r="B2366" i="5"/>
  <c r="B2371" i="5"/>
  <c r="B2376" i="5"/>
  <c r="B2382" i="5"/>
  <c r="B2390" i="5"/>
  <c r="B2397" i="5"/>
  <c r="B2403" i="5"/>
  <c r="B2410" i="5"/>
  <c r="B2416" i="5"/>
  <c r="B2420" i="5"/>
  <c r="B2424" i="5"/>
  <c r="B2428" i="5"/>
  <c r="B2432" i="5"/>
  <c r="B2436" i="5"/>
  <c r="B2440" i="5"/>
  <c r="B2444" i="5"/>
  <c r="B2448" i="5"/>
  <c r="B2452" i="5"/>
  <c r="B2456" i="5"/>
  <c r="B2460" i="5"/>
  <c r="B2464" i="5"/>
  <c r="B2468" i="5"/>
  <c r="B2472" i="5"/>
  <c r="B2476" i="5"/>
  <c r="B2480" i="5"/>
  <c r="B2484" i="5"/>
  <c r="B2488" i="5"/>
  <c r="B2492" i="5"/>
  <c r="B2496" i="5"/>
  <c r="B2500" i="5"/>
  <c r="B2504" i="5"/>
  <c r="B2508" i="5"/>
  <c r="B2512" i="5"/>
  <c r="B2516" i="5"/>
  <c r="B2520" i="5"/>
  <c r="B2524" i="5"/>
  <c r="B2528" i="5"/>
  <c r="B2532" i="5"/>
  <c r="B2536" i="5"/>
  <c r="B2540" i="5"/>
  <c r="B2544" i="5"/>
  <c r="B2548" i="5"/>
  <c r="B2552" i="5"/>
  <c r="B2556" i="5"/>
  <c r="B2560" i="5"/>
  <c r="B2564" i="5"/>
  <c r="B2568" i="5"/>
  <c r="B2572" i="5"/>
  <c r="B2576" i="5"/>
  <c r="B2580" i="5"/>
  <c r="B2584" i="5"/>
  <c r="B2588" i="5"/>
  <c r="B2592" i="5"/>
  <c r="B2596" i="5"/>
  <c r="B2604" i="5"/>
  <c r="B2612" i="5"/>
  <c r="B2620" i="5"/>
  <c r="B2624" i="5"/>
  <c r="B2628" i="5"/>
  <c r="B2632" i="5"/>
  <c r="B2636" i="5"/>
  <c r="B2640" i="5"/>
  <c r="B2644" i="5"/>
  <c r="B2648" i="5"/>
  <c r="B2652" i="5"/>
  <c r="B2656" i="5"/>
  <c r="B2660" i="5"/>
  <c r="B2664" i="5"/>
  <c r="B2668" i="5"/>
  <c r="B2672" i="5"/>
  <c r="B2676" i="5"/>
  <c r="B2682" i="5"/>
  <c r="B2688" i="5"/>
  <c r="B2694" i="5"/>
  <c r="B2700" i="5"/>
  <c r="B2706" i="5"/>
  <c r="B2712" i="5"/>
  <c r="B2718" i="5"/>
  <c r="B2724" i="5"/>
  <c r="B2730" i="5"/>
  <c r="B2736" i="5"/>
  <c r="B2742" i="5"/>
  <c r="B2749" i="5"/>
  <c r="B2756" i="5"/>
  <c r="B2761" i="5"/>
  <c r="B2766" i="5"/>
  <c r="B2773" i="5"/>
  <c r="B2778" i="5"/>
  <c r="B2783" i="5"/>
  <c r="B2788" i="5"/>
  <c r="B2795" i="5"/>
  <c r="B2800" i="5"/>
  <c r="B2805" i="5"/>
  <c r="B2810" i="5"/>
  <c r="B2815" i="5"/>
  <c r="B2820" i="5"/>
  <c r="B2825" i="5"/>
  <c r="B2830" i="5"/>
  <c r="B2835" i="5"/>
  <c r="B2846" i="5"/>
  <c r="B2851" i="5"/>
  <c r="B2856" i="5"/>
  <c r="B2861" i="5"/>
  <c r="B2869" i="5"/>
  <c r="B2877" i="5"/>
  <c r="B2885" i="5"/>
  <c r="B2893" i="5"/>
  <c r="B2901" i="5"/>
  <c r="B2906" i="5"/>
  <c r="B2911" i="5"/>
  <c r="B2916" i="5"/>
  <c r="B2921" i="5"/>
  <c r="B2926" i="5"/>
  <c r="B2931" i="5"/>
  <c r="B2936" i="5"/>
  <c r="B2941" i="5"/>
  <c r="B2946" i="5"/>
  <c r="B2951" i="5"/>
  <c r="B2958" i="5"/>
  <c r="B2963" i="5"/>
  <c r="B2968" i="5"/>
  <c r="B2973" i="5"/>
  <c r="B2978" i="5"/>
  <c r="B2983" i="5"/>
  <c r="B2988" i="5"/>
  <c r="B2993" i="5"/>
  <c r="B2998" i="5"/>
  <c r="B3003" i="5"/>
  <c r="B3011" i="5"/>
  <c r="B3016" i="5"/>
  <c r="B3024" i="5"/>
  <c r="B3028" i="5"/>
  <c r="B3035" i="5"/>
  <c r="B3040" i="5"/>
  <c r="B3048" i="5"/>
  <c r="B3053" i="5"/>
  <c r="B3058" i="5"/>
  <c r="B3063" i="5"/>
  <c r="B3068" i="5"/>
  <c r="B3073" i="5"/>
  <c r="B3078" i="5"/>
  <c r="B3083" i="5"/>
  <c r="B3088" i="5"/>
  <c r="B3093" i="5"/>
  <c r="B3099" i="5"/>
  <c r="B3106" i="5"/>
  <c r="B3113" i="5"/>
  <c r="B3119" i="5"/>
  <c r="B3125" i="5"/>
  <c r="B3132" i="5"/>
  <c r="B3137" i="5"/>
  <c r="B3143" i="5"/>
  <c r="B3151" i="5"/>
  <c r="B3159" i="5"/>
  <c r="B3164" i="5"/>
  <c r="B3168" i="5"/>
  <c r="B3175" i="5"/>
  <c r="B3188" i="5"/>
  <c r="B3194" i="5"/>
  <c r="B3200" i="5"/>
  <c r="B3206" i="5"/>
  <c r="B3216" i="5"/>
  <c r="B3221" i="5"/>
  <c r="B3228" i="5"/>
  <c r="B3235" i="5"/>
  <c r="B3242" i="5"/>
  <c r="B3249" i="5"/>
  <c r="B3256" i="5"/>
  <c r="B3263" i="5"/>
  <c r="B3270" i="5"/>
  <c r="B3277" i="5"/>
  <c r="B3284" i="5"/>
  <c r="B3291" i="5"/>
  <c r="B3297" i="5"/>
  <c r="B3303" i="5"/>
  <c r="B3312" i="5"/>
  <c r="B3317" i="5"/>
  <c r="B3324" i="5"/>
  <c r="B3331" i="5"/>
  <c r="B3338" i="5"/>
  <c r="B3342" i="5"/>
  <c r="B3346" i="5"/>
  <c r="B3351" i="5"/>
  <c r="B3355" i="5"/>
  <c r="B3359" i="5"/>
  <c r="B3366" i="5"/>
  <c r="B3373" i="5"/>
  <c r="B3380" i="5"/>
  <c r="B3385" i="5"/>
  <c r="B3390" i="5"/>
  <c r="B3395" i="5"/>
  <c r="B3399" i="5"/>
  <c r="B3403" i="5"/>
  <c r="B3413" i="5"/>
  <c r="B3424" i="5"/>
  <c r="B3432" i="5"/>
  <c r="B3449" i="5"/>
  <c r="B3457" i="5"/>
  <c r="B3474" i="5"/>
  <c r="B3486" i="5"/>
  <c r="B3493" i="5"/>
  <c r="B3509" i="5"/>
  <c r="B3515" i="5"/>
  <c r="B3521" i="5"/>
  <c r="B3529" i="5"/>
  <c r="B3536" i="5"/>
  <c r="B3541" i="5"/>
  <c r="B3549" i="5"/>
  <c r="B3555" i="5"/>
  <c r="B3562" i="5"/>
  <c r="B3568" i="5"/>
  <c r="B3578" i="5"/>
  <c r="B3583" i="5"/>
  <c r="B3588" i="5"/>
  <c r="B3596" i="5"/>
  <c r="B3600" i="5"/>
  <c r="B3606" i="5"/>
  <c r="B3621" i="5"/>
  <c r="B3629" i="5"/>
  <c r="B3641" i="5"/>
  <c r="B3654" i="5"/>
  <c r="B3665" i="5"/>
  <c r="B3669" i="5"/>
  <c r="B3679" i="5"/>
  <c r="B3684" i="5"/>
  <c r="B3693" i="5"/>
  <c r="B3702" i="5"/>
  <c r="B3706" i="5"/>
  <c r="B3710" i="5"/>
  <c r="B3714" i="5"/>
  <c r="B3720" i="5"/>
  <c r="B3725" i="5"/>
  <c r="B3736" i="5"/>
  <c r="B3746" i="5"/>
  <c r="B3755" i="5"/>
  <c r="B3763" i="5"/>
  <c r="B3775" i="5"/>
  <c r="B3790" i="5"/>
  <c r="B3797" i="5"/>
  <c r="B3813" i="5"/>
  <c r="B3819" i="5"/>
  <c r="B3825" i="5"/>
  <c r="B3831" i="5"/>
  <c r="B3838" i="5"/>
  <c r="B3847" i="5"/>
  <c r="B3854" i="5"/>
  <c r="B3862" i="5"/>
  <c r="B3869" i="5"/>
  <c r="B3877" i="5"/>
  <c r="B3890" i="5"/>
  <c r="B3903" i="5"/>
  <c r="B3908" i="5"/>
  <c r="B3912" i="5"/>
  <c r="B3916" i="5"/>
  <c r="B3925" i="5"/>
  <c r="B3934" i="5"/>
  <c r="B3943" i="5"/>
  <c r="B3952" i="5"/>
  <c r="B3961" i="5"/>
  <c r="B3970" i="5"/>
  <c r="B3976" i="5"/>
  <c r="B3982" i="5"/>
  <c r="B3989" i="5"/>
  <c r="B3995" i="5"/>
  <c r="B3999" i="5"/>
  <c r="B4006" i="5"/>
  <c r="B4014" i="5"/>
  <c r="B4022" i="5"/>
  <c r="B4030" i="5"/>
  <c r="B4040" i="5"/>
  <c r="B4047" i="5"/>
  <c r="B4058" i="5"/>
  <c r="B4069" i="5"/>
  <c r="B4073" i="5"/>
  <c r="B4080" i="5"/>
  <c r="B4087" i="5"/>
  <c r="B4093" i="5"/>
  <c r="B4099" i="5"/>
  <c r="B4105" i="5"/>
  <c r="B4115" i="5"/>
  <c r="B4121" i="5"/>
  <c r="B4129" i="5"/>
  <c r="B4135" i="5"/>
  <c r="B4142" i="5"/>
  <c r="B4150" i="5"/>
  <c r="B4155" i="5"/>
  <c r="B4165" i="5"/>
  <c r="B4174" i="5"/>
  <c r="B4190" i="5"/>
  <c r="B4217" i="5"/>
  <c r="B4224" i="5"/>
  <c r="B4234" i="5"/>
  <c r="B4243" i="5"/>
  <c r="B4252" i="5"/>
  <c r="B4261" i="5"/>
  <c r="B4270" i="5"/>
  <c r="B4280" i="5"/>
  <c r="B4288" i="5"/>
  <c r="B4296" i="5"/>
  <c r="B4306" i="5"/>
  <c r="B4316" i="5"/>
  <c r="B4326" i="5"/>
  <c r="B4334" i="5"/>
  <c r="B4350" i="5"/>
  <c r="B4359" i="5"/>
  <c r="B4365" i="5"/>
  <c r="B4385" i="5"/>
  <c r="B4393" i="5"/>
  <c r="B4401" i="5"/>
  <c r="B4407" i="5"/>
  <c r="B4412" i="5"/>
  <c r="B4417" i="5"/>
  <c r="B4423" i="5"/>
  <c r="B4431" i="5"/>
  <c r="B4437" i="5"/>
  <c r="B4443" i="5"/>
  <c r="B4455" i="5"/>
  <c r="B4467" i="5"/>
  <c r="B4486" i="5"/>
  <c r="B4494" i="5"/>
  <c r="B4503" i="5"/>
  <c r="B4511" i="5"/>
  <c r="B4517" i="5"/>
  <c r="B4529" i="5"/>
  <c r="B4537" i="5"/>
  <c r="B4543" i="5"/>
  <c r="B4551" i="5"/>
  <c r="B4559" i="5"/>
  <c r="B4569" i="5"/>
  <c r="B4575" i="5"/>
  <c r="B4583" i="5"/>
  <c r="B4592" i="5"/>
  <c r="B4604" i="5"/>
  <c r="B4610" i="5"/>
  <c r="B4618" i="5"/>
  <c r="B4629" i="5"/>
  <c r="B4634" i="5"/>
  <c r="B4644" i="5"/>
  <c r="B4654" i="5"/>
  <c r="B4659" i="5"/>
  <c r="B4664" i="5"/>
  <c r="B4669" i="5"/>
  <c r="B4677" i="5"/>
  <c r="B4685" i="5"/>
  <c r="B4693" i="5"/>
  <c r="B4701" i="5"/>
  <c r="B4709" i="5"/>
  <c r="B4717" i="5"/>
  <c r="B4725" i="5"/>
  <c r="B4733" i="5"/>
  <c r="B4743" i="5"/>
  <c r="B4751" i="5"/>
  <c r="B4758" i="5"/>
  <c r="B4765" i="5"/>
  <c r="B4772" i="5"/>
  <c r="B4779" i="5"/>
  <c r="B4786" i="5"/>
  <c r="B4791" i="5"/>
  <c r="B4798" i="5"/>
  <c r="B4805" i="5"/>
  <c r="B4812" i="5"/>
  <c r="B4819" i="5"/>
  <c r="B4824" i="5"/>
  <c r="B4830" i="5"/>
  <c r="B4836" i="5"/>
  <c r="B4842" i="5"/>
  <c r="B4848" i="5"/>
  <c r="B4855" i="5"/>
  <c r="B4860" i="5"/>
  <c r="B4868" i="5"/>
  <c r="B4874" i="5"/>
  <c r="B4878" i="5"/>
  <c r="B4884" i="5"/>
  <c r="B4890" i="5"/>
  <c r="B4897" i="5"/>
  <c r="B4904" i="5"/>
  <c r="B4911" i="5"/>
  <c r="B4919" i="5"/>
  <c r="B4925" i="5"/>
  <c r="B4931" i="5"/>
  <c r="B4937" i="5"/>
  <c r="B4943" i="5"/>
  <c r="B4950" i="5"/>
  <c r="B4957" i="5"/>
  <c r="B4970" i="5"/>
  <c r="B4976" i="5"/>
  <c r="B4984" i="5"/>
  <c r="B4992" i="5"/>
  <c r="B5000" i="5"/>
  <c r="B5008" i="5"/>
  <c r="B5014" i="5"/>
  <c r="B5022" i="5"/>
  <c r="B5028" i="5"/>
  <c r="B5036" i="5"/>
  <c r="B5044" i="5"/>
  <c r="B5052" i="5"/>
  <c r="B5067" i="5"/>
  <c r="B5082" i="5"/>
  <c r="B5089" i="5"/>
  <c r="B5096" i="5"/>
  <c r="B5102" i="5"/>
  <c r="B5108" i="5"/>
  <c r="B5114" i="5"/>
  <c r="B5129" i="5"/>
  <c r="B5137" i="5"/>
  <c r="B5143" i="5"/>
  <c r="B5150" i="5"/>
  <c r="B5156" i="5"/>
  <c r="E49" i="5"/>
  <c r="E50" i="5"/>
  <c r="E89" i="5"/>
  <c r="E90" i="5"/>
  <c r="E94" i="5"/>
  <c r="E95" i="5"/>
  <c r="E104" i="5"/>
  <c r="E136" i="5"/>
  <c r="E155" i="5"/>
  <c r="E156" i="5"/>
  <c r="E176" i="5"/>
  <c r="E184" i="5"/>
  <c r="E185" i="5"/>
  <c r="E202" i="5"/>
  <c r="D11" i="6"/>
  <c r="D12" i="6"/>
  <c r="D211" i="6"/>
  <c r="E299" i="5"/>
  <c r="E300" i="5"/>
  <c r="E310" i="5"/>
  <c r="E314" i="5"/>
  <c r="E315" i="5"/>
  <c r="E333" i="5"/>
  <c r="E359" i="5"/>
  <c r="E360" i="5"/>
  <c r="D56" i="6"/>
  <c r="D57" i="6"/>
  <c r="D163" i="6"/>
  <c r="D164" i="6"/>
  <c r="E418" i="5"/>
  <c r="E419" i="5"/>
  <c r="D74" i="6"/>
  <c r="D75" i="6"/>
  <c r="E455" i="5"/>
  <c r="E456" i="5"/>
  <c r="E458" i="5"/>
  <c r="E465" i="5"/>
  <c r="E466" i="5"/>
  <c r="E467" i="5"/>
  <c r="E468" i="5"/>
  <c r="E475" i="5"/>
  <c r="E490" i="5"/>
  <c r="E491" i="5"/>
  <c r="E519" i="5"/>
  <c r="E530" i="5"/>
  <c r="D91" i="6"/>
  <c r="D92" i="6"/>
  <c r="E574" i="5"/>
  <c r="E575" i="5"/>
  <c r="E576" i="5"/>
  <c r="E577" i="5"/>
  <c r="E578" i="5"/>
  <c r="E584" i="5"/>
  <c r="E585" i="5"/>
  <c r="E586" i="5"/>
  <c r="E587" i="5"/>
  <c r="E601" i="5"/>
  <c r="E602" i="5"/>
  <c r="E603" i="5"/>
  <c r="E604" i="5"/>
  <c r="E605" i="5"/>
  <c r="E611" i="5"/>
  <c r="E612" i="5"/>
  <c r="E613" i="5"/>
  <c r="E614" i="5"/>
  <c r="E673" i="5"/>
  <c r="E674" i="5"/>
  <c r="E675" i="5"/>
  <c r="E676" i="5"/>
  <c r="E677" i="5"/>
  <c r="E681" i="5"/>
  <c r="E682" i="5"/>
  <c r="E683" i="5"/>
  <c r="E684" i="5"/>
  <c r="E685" i="5"/>
  <c r="E686" i="5"/>
  <c r="E687" i="5"/>
  <c r="D101" i="6"/>
  <c r="D102" i="6"/>
  <c r="E699" i="5"/>
  <c r="E700" i="5"/>
  <c r="E701" i="5"/>
  <c r="E702" i="5"/>
  <c r="E703" i="5"/>
  <c r="E707" i="5"/>
  <c r="E708" i="5"/>
  <c r="E709" i="5"/>
  <c r="E710" i="5"/>
  <c r="E711" i="5"/>
  <c r="E712" i="5"/>
  <c r="E713" i="5"/>
  <c r="E717" i="5"/>
  <c r="E718" i="5"/>
  <c r="E719" i="5"/>
  <c r="E720" i="5"/>
  <c r="E721" i="5"/>
  <c r="E722" i="5"/>
  <c r="E726" i="5"/>
  <c r="E727" i="5"/>
  <c r="E728" i="5"/>
  <c r="E729" i="5"/>
  <c r="E739" i="5"/>
  <c r="E751" i="5"/>
  <c r="E752" i="5"/>
  <c r="E771" i="5"/>
  <c r="E821" i="5"/>
  <c r="E826" i="5"/>
  <c r="E854" i="5"/>
  <c r="E873" i="5"/>
  <c r="E874" i="5"/>
  <c r="E894" i="5"/>
  <c r="E895" i="5"/>
  <c r="E906" i="5"/>
  <c r="E1078" i="5"/>
  <c r="E1079" i="5"/>
  <c r="E1103" i="5"/>
  <c r="E1104" i="5"/>
  <c r="E1105" i="5"/>
  <c r="E1616" i="5"/>
  <c r="E1617" i="5"/>
  <c r="E1663" i="5"/>
  <c r="E1664" i="5"/>
  <c r="D433" i="6"/>
  <c r="D434" i="6"/>
  <c r="E2032" i="5"/>
  <c r="E2033" i="5"/>
  <c r="E2040" i="5"/>
  <c r="E2041" i="5"/>
  <c r="E2048" i="5"/>
  <c r="E2049" i="5"/>
  <c r="E2056" i="5"/>
  <c r="E2057" i="5"/>
  <c r="E2064" i="5"/>
  <c r="E2065" i="5"/>
  <c r="E2072" i="5"/>
  <c r="E2073" i="5"/>
  <c r="E2080" i="5"/>
  <c r="E2081" i="5"/>
  <c r="E2088" i="5"/>
  <c r="E2089" i="5"/>
  <c r="E2096" i="5"/>
  <c r="E2097" i="5"/>
  <c r="E2104" i="5"/>
  <c r="E2105" i="5"/>
  <c r="E2112" i="5"/>
  <c r="E2113" i="5"/>
  <c r="E2150" i="5"/>
  <c r="E2151" i="5"/>
  <c r="E2158" i="5"/>
  <c r="E2159" i="5"/>
  <c r="E2166" i="5"/>
  <c r="E2167" i="5"/>
  <c r="E2174" i="5"/>
  <c r="E2175" i="5"/>
  <c r="E2182" i="5"/>
  <c r="E2183" i="5"/>
  <c r="E2190" i="5"/>
  <c r="E2191" i="5"/>
  <c r="E2198" i="5"/>
  <c r="E2199" i="5"/>
  <c r="E2206" i="5"/>
  <c r="E2207" i="5"/>
  <c r="E2219" i="5"/>
  <c r="E2246" i="5"/>
  <c r="E2247" i="5"/>
  <c r="E2249" i="5"/>
  <c r="E2250" i="5"/>
  <c r="E2252" i="5"/>
  <c r="E2253" i="5"/>
  <c r="E2266" i="5"/>
  <c r="E2267" i="5"/>
  <c r="E2268" i="5"/>
  <c r="E2270" i="5"/>
  <c r="E2271" i="5"/>
  <c r="E2278" i="5"/>
  <c r="E2279" i="5"/>
  <c r="E2280" i="5"/>
  <c r="E2282" i="5"/>
  <c r="E2283" i="5"/>
  <c r="E2290" i="5"/>
  <c r="E2291" i="5"/>
  <c r="E2292" i="5"/>
  <c r="E2294" i="5"/>
  <c r="E2295" i="5"/>
  <c r="E2302" i="5"/>
  <c r="E2303" i="5"/>
  <c r="E2304" i="5"/>
  <c r="E2306" i="5"/>
  <c r="E2307" i="5"/>
  <c r="E2314" i="5"/>
  <c r="E2315" i="5"/>
  <c r="E2316" i="5"/>
  <c r="E2318" i="5"/>
  <c r="E2319" i="5"/>
  <c r="E2373" i="5"/>
  <c r="E2387" i="5"/>
  <c r="E2388" i="5"/>
  <c r="E2392" i="5"/>
  <c r="E2393" i="5"/>
  <c r="E2478" i="5"/>
  <c r="E2599" i="5"/>
  <c r="E2600" i="5"/>
  <c r="E2607" i="5"/>
  <c r="E2608" i="5"/>
  <c r="E2615" i="5"/>
  <c r="E2616" i="5"/>
  <c r="E2622" i="5"/>
  <c r="E2678" i="5"/>
  <c r="E2684" i="5"/>
  <c r="E2690" i="5"/>
  <c r="E2696" i="5"/>
  <c r="E2702" i="5"/>
  <c r="E2708" i="5"/>
  <c r="E2714" i="5"/>
  <c r="E2720" i="5"/>
  <c r="E2726" i="5"/>
  <c r="E2732" i="5"/>
  <c r="E2841" i="5"/>
  <c r="E2842" i="5"/>
  <c r="E3115" i="5"/>
  <c r="E3183" i="5"/>
  <c r="E3184" i="5"/>
  <c r="E3306" i="5"/>
  <c r="D345" i="6"/>
  <c r="D346" i="6"/>
  <c r="G3354" i="5"/>
  <c r="D272" i="6"/>
  <c r="D273" i="6"/>
  <c r="E3405" i="5"/>
  <c r="E3406" i="5"/>
  <c r="E3407" i="5"/>
  <c r="E3408" i="5"/>
  <c r="D262" i="6"/>
  <c r="D263" i="6"/>
  <c r="E3409" i="5"/>
  <c r="E3415" i="5"/>
  <c r="E3416" i="5"/>
  <c r="E3417" i="5"/>
  <c r="E3418" i="5"/>
  <c r="E3420" i="5"/>
  <c r="E3435" i="5"/>
  <c r="E3437" i="5"/>
  <c r="E3440" i="5"/>
  <c r="E3441" i="5"/>
  <c r="E3442" i="5"/>
  <c r="E3443" i="5"/>
  <c r="E3460" i="5"/>
  <c r="E3462" i="5"/>
  <c r="E3465" i="5"/>
  <c r="E3466" i="5"/>
  <c r="E3467" i="5"/>
  <c r="E3479" i="5"/>
  <c r="E3480" i="5"/>
  <c r="E3495" i="5"/>
  <c r="E3497" i="5"/>
  <c r="E3500" i="5"/>
  <c r="E3501" i="5"/>
  <c r="E3502" i="5"/>
  <c r="E3524" i="5"/>
  <c r="E3525" i="5"/>
  <c r="E3526" i="5"/>
  <c r="E3527" i="5"/>
  <c r="E3532" i="5"/>
  <c r="E3547" i="5"/>
  <c r="E3553" i="5"/>
  <c r="D333" i="6"/>
  <c r="D334" i="6"/>
  <c r="E3592" i="5"/>
  <c r="E3611" i="5"/>
  <c r="E3612" i="5"/>
  <c r="E3617" i="5" s="1"/>
  <c r="E3613" i="5"/>
  <c r="E3614" i="5"/>
  <c r="E3615" i="5"/>
  <c r="G3618" i="5"/>
  <c r="E3623" i="5"/>
  <c r="E3624" i="5"/>
  <c r="E3625" i="5"/>
  <c r="E3636" i="5"/>
  <c r="E3637" i="5"/>
  <c r="G3638" i="5"/>
  <c r="G3639" i="5"/>
  <c r="E3649" i="5"/>
  <c r="E3650" i="5"/>
  <c r="G3651" i="5"/>
  <c r="G3652" i="5"/>
  <c r="G3653" i="5"/>
  <c r="E3656" i="5"/>
  <c r="E3657" i="5"/>
  <c r="E3658" i="5"/>
  <c r="E3659" i="5"/>
  <c r="E3661" i="5"/>
  <c r="E3682" i="5"/>
  <c r="E3686" i="5"/>
  <c r="E3687" i="5"/>
  <c r="E3688" i="5"/>
  <c r="G3713" i="5"/>
  <c r="E3716" i="5"/>
  <c r="G3717" i="5"/>
  <c r="G3718" i="5"/>
  <c r="G3719" i="5"/>
  <c r="E3722" i="5"/>
  <c r="E3723" i="5"/>
  <c r="E3732" i="5"/>
  <c r="E3738" i="5"/>
  <c r="E3739" i="5"/>
  <c r="E3740" i="5"/>
  <c r="E3741" i="5"/>
  <c r="E3742" i="5"/>
  <c r="E3743" i="5"/>
  <c r="E3744" i="5"/>
  <c r="E3770" i="5"/>
  <c r="E3771" i="5"/>
  <c r="D319" i="6"/>
  <c r="D320" i="6"/>
  <c r="E3833" i="5"/>
  <c r="E3834" i="5"/>
  <c r="E3835" i="5"/>
  <c r="E3836" i="5"/>
  <c r="E3850" i="5"/>
  <c r="E3885" i="5"/>
  <c r="E3886" i="5"/>
  <c r="E3905" i="5"/>
  <c r="E3991" i="5"/>
  <c r="E3997" i="5"/>
  <c r="D422" i="6"/>
  <c r="D423" i="6"/>
  <c r="E4053" i="5"/>
  <c r="E4061" i="5"/>
  <c r="E4091" i="5"/>
  <c r="E4123" i="5"/>
  <c r="E4167" i="5"/>
  <c r="E4168" i="5"/>
  <c r="E4169" i="5"/>
  <c r="E4185" i="5"/>
  <c r="E4186" i="5"/>
  <c r="E4212" i="5"/>
  <c r="E4213" i="5"/>
  <c r="E4219" i="5"/>
  <c r="E4220" i="5"/>
  <c r="E4221" i="5"/>
  <c r="E4282" i="5"/>
  <c r="E4283" i="5"/>
  <c r="E4284" i="5"/>
  <c r="E4286" i="5"/>
  <c r="E4290" i="5"/>
  <c r="E4291" i="5"/>
  <c r="E4292" i="5"/>
  <c r="E4294" i="5"/>
  <c r="E4373" i="5"/>
  <c r="E4379" i="5"/>
  <c r="E4388" i="5"/>
  <c r="D175" i="6"/>
  <c r="D176" i="6"/>
  <c r="E4429" i="5"/>
  <c r="E4457" i="5"/>
  <c r="E4458" i="5"/>
  <c r="E4459" i="5"/>
  <c r="E4460" i="5"/>
  <c r="E4461" i="5"/>
  <c r="E4481" i="5"/>
  <c r="E4482" i="5"/>
  <c r="E4488" i="5"/>
  <c r="E4489" i="5"/>
  <c r="E4490" i="5"/>
  <c r="E4491" i="5"/>
  <c r="E4492" i="5"/>
  <c r="E4507" i="5"/>
  <c r="E4524" i="5"/>
  <c r="E4525" i="5"/>
  <c r="E4598" i="5"/>
  <c r="G4606" i="5"/>
  <c r="E4613" i="5"/>
  <c r="E4614" i="5"/>
  <c r="E4627" i="5"/>
  <c r="E4636" i="5"/>
  <c r="E4638" i="5"/>
  <c r="E4639" i="5"/>
  <c r="E4646" i="5"/>
  <c r="E4648" i="5"/>
  <c r="E4649" i="5"/>
  <c r="E4809" i="5"/>
  <c r="E4810" i="5"/>
  <c r="E4816" i="5"/>
  <c r="E4817" i="5"/>
  <c r="E4827" i="5"/>
  <c r="E4828" i="5"/>
  <c r="E4833" i="5"/>
  <c r="E4834" i="5"/>
  <c r="E4839" i="5"/>
  <c r="E4840" i="5"/>
  <c r="E4845" i="5"/>
  <c r="E4846" i="5"/>
  <c r="E4850" i="5"/>
  <c r="E4851" i="5"/>
  <c r="E4852" i="5"/>
  <c r="E4853" i="5"/>
  <c r="E4901" i="5"/>
  <c r="E4917" i="5"/>
  <c r="E4952" i="5"/>
  <c r="E4953" i="5"/>
  <c r="E4954" i="5"/>
  <c r="E4955" i="5"/>
  <c r="E4959" i="5"/>
  <c r="E4960" i="5"/>
  <c r="E4961" i="5"/>
  <c r="E4962" i="5"/>
  <c r="E4978" i="5"/>
  <c r="E4980" i="5"/>
  <c r="E4981" i="5"/>
  <c r="E4982" i="5"/>
  <c r="E4986" i="5"/>
  <c r="E4988" i="5"/>
  <c r="E4989" i="5"/>
  <c r="E4990" i="5"/>
  <c r="E4994" i="5"/>
  <c r="E4996" i="5"/>
  <c r="E4997" i="5"/>
  <c r="E4998" i="5"/>
  <c r="E5002" i="5"/>
  <c r="E5004" i="5"/>
  <c r="E5005" i="5"/>
  <c r="E5006" i="5"/>
  <c r="E5016" i="5"/>
  <c r="E5018" i="5"/>
  <c r="E5019" i="5"/>
  <c r="E5020" i="5"/>
  <c r="E5025" i="5"/>
  <c r="E5026" i="5"/>
  <c r="E5038" i="5"/>
  <c r="E5040" i="5"/>
  <c r="E5041" i="5"/>
  <c r="E5042" i="5"/>
  <c r="E5046" i="5"/>
  <c r="E5048" i="5"/>
  <c r="E5049" i="5"/>
  <c r="E5050" i="5"/>
  <c r="E5071" i="5"/>
  <c r="E5074" i="5"/>
  <c r="E5077" i="5"/>
  <c r="E5078" i="5"/>
  <c r="E5116" i="5"/>
  <c r="E5117" i="5"/>
  <c r="D74" i="7"/>
  <c r="D75" i="7"/>
  <c r="D76" i="7"/>
  <c r="D77" i="7"/>
  <c r="D78" i="7"/>
  <c r="D79" i="7"/>
  <c r="E5118" i="5"/>
  <c r="E5119" i="5"/>
  <c r="D57" i="7"/>
  <c r="D58" i="7"/>
  <c r="D59" i="7"/>
  <c r="D60" i="7"/>
  <c r="D61" i="7"/>
  <c r="D62" i="7"/>
  <c r="E5120" i="5"/>
  <c r="E5121" i="5"/>
  <c r="E5122" i="5"/>
  <c r="E5123" i="5"/>
  <c r="E5124" i="5"/>
  <c r="D248" i="6"/>
  <c r="D249" i="6"/>
  <c r="E5125" i="5"/>
  <c r="E5126" i="5"/>
  <c r="D234" i="6"/>
  <c r="D235" i="6"/>
  <c r="E5127" i="5"/>
  <c r="A1358" i="8"/>
  <c r="D291" i="6"/>
  <c r="D292" i="6"/>
  <c r="D410" i="6"/>
  <c r="D411" i="6"/>
  <c r="F455" i="6"/>
  <c r="F450" i="6"/>
  <c r="D4334" i="5"/>
  <c r="D4350" i="5"/>
  <c r="G2475" i="5"/>
  <c r="G2473" i="5"/>
  <c r="G2472" i="5"/>
  <c r="D2472" i="5"/>
  <c r="G2471" i="5"/>
  <c r="G2469" i="5"/>
  <c r="G2468" i="5"/>
  <c r="D2468" i="5"/>
  <c r="G2675" i="5"/>
  <c r="G2673" i="5"/>
  <c r="G2672" i="5"/>
  <c r="D2672" i="5"/>
  <c r="G2667" i="5"/>
  <c r="G2665" i="5"/>
  <c r="G2664" i="5"/>
  <c r="D2664" i="5"/>
  <c r="D2568" i="5"/>
  <c r="G2575" i="5"/>
  <c r="G2573" i="5"/>
  <c r="G2572" i="5"/>
  <c r="D2572" i="5"/>
  <c r="G2571" i="5"/>
  <c r="G2569" i="5"/>
  <c r="G2568" i="5"/>
  <c r="G2567" i="5"/>
  <c r="G2565" i="5"/>
  <c r="G2564" i="5"/>
  <c r="D2564" i="5"/>
  <c r="G2563" i="5"/>
  <c r="G2561" i="5"/>
  <c r="G2560" i="5"/>
  <c r="D2560" i="5"/>
  <c r="G2559" i="5"/>
  <c r="G2557" i="5"/>
  <c r="G2556" i="5"/>
  <c r="D2556" i="5"/>
  <c r="G2555" i="5"/>
  <c r="G2553" i="5"/>
  <c r="G2552" i="5"/>
  <c r="D2552" i="5"/>
  <c r="G2551" i="5"/>
  <c r="G2549" i="5"/>
  <c r="G2548" i="5"/>
  <c r="D2548" i="5"/>
  <c r="G2547" i="5"/>
  <c r="G2545" i="5"/>
  <c r="G2544" i="5"/>
  <c r="D2544" i="5"/>
  <c r="G2543" i="5"/>
  <c r="G2541" i="5"/>
  <c r="G2540" i="5"/>
  <c r="D2540" i="5"/>
  <c r="G2539" i="5"/>
  <c r="G2537" i="5"/>
  <c r="G2536" i="5"/>
  <c r="D2536" i="5"/>
  <c r="G2535" i="5"/>
  <c r="G2533" i="5"/>
  <c r="G2532" i="5"/>
  <c r="D2532" i="5"/>
  <c r="G2531" i="5"/>
  <c r="G2529" i="5"/>
  <c r="G2528" i="5"/>
  <c r="D2528" i="5"/>
  <c r="G2527" i="5"/>
  <c r="G2525" i="5"/>
  <c r="G2524" i="5"/>
  <c r="D2524" i="5"/>
  <c r="G2523" i="5"/>
  <c r="G2521" i="5"/>
  <c r="G2520" i="5"/>
  <c r="D2520" i="5"/>
  <c r="G2519" i="5"/>
  <c r="G2517" i="5"/>
  <c r="G2516" i="5"/>
  <c r="D2516" i="5"/>
  <c r="G2515" i="5"/>
  <c r="G2513" i="5"/>
  <c r="G2512" i="5"/>
  <c r="D2512" i="5"/>
  <c r="G2511" i="5"/>
  <c r="G2509" i="5"/>
  <c r="G2508" i="5"/>
  <c r="D2508" i="5"/>
  <c r="G2507" i="5"/>
  <c r="G2505" i="5"/>
  <c r="G2504" i="5"/>
  <c r="D2504" i="5"/>
  <c r="G2503" i="5"/>
  <c r="G2501" i="5"/>
  <c r="G2500" i="5"/>
  <c r="D2500" i="5"/>
  <c r="G2499" i="5"/>
  <c r="G2497" i="5"/>
  <c r="G2496" i="5"/>
  <c r="D2496" i="5"/>
  <c r="G2495" i="5"/>
  <c r="G2493" i="5"/>
  <c r="G2492" i="5"/>
  <c r="D2492" i="5"/>
  <c r="G2491" i="5"/>
  <c r="G2489" i="5"/>
  <c r="G2488" i="5"/>
  <c r="D2488" i="5"/>
  <c r="G2487" i="5"/>
  <c r="G2485" i="5"/>
  <c r="G2484" i="5"/>
  <c r="D2484" i="5"/>
  <c r="G2483" i="5"/>
  <c r="G2481" i="5"/>
  <c r="G2480" i="5"/>
  <c r="D2480" i="5"/>
  <c r="G2479" i="5"/>
  <c r="G2477" i="5"/>
  <c r="G2476" i="5"/>
  <c r="D2476" i="5"/>
  <c r="G2467" i="5"/>
  <c r="G2465" i="5"/>
  <c r="G2464" i="5"/>
  <c r="D2464" i="5"/>
  <c r="G2463" i="5"/>
  <c r="G2461" i="5"/>
  <c r="G2460" i="5"/>
  <c r="D2460" i="5"/>
  <c r="G2455" i="5"/>
  <c r="G2453" i="5"/>
  <c r="G2452" i="5"/>
  <c r="D2452" i="5"/>
  <c r="G2451" i="5"/>
  <c r="G2449" i="5"/>
  <c r="G2448" i="5"/>
  <c r="D2448" i="5"/>
  <c r="G2447" i="5"/>
  <c r="G2445" i="5"/>
  <c r="G2444" i="5"/>
  <c r="D2444" i="5"/>
  <c r="G2443" i="5"/>
  <c r="G2441" i="5"/>
  <c r="G2440" i="5"/>
  <c r="D2440" i="5"/>
  <c r="G2439" i="5"/>
  <c r="G2437" i="5"/>
  <c r="G2436" i="5"/>
  <c r="D2436" i="5"/>
  <c r="G2435" i="5"/>
  <c r="G2433" i="5"/>
  <c r="G2432" i="5"/>
  <c r="D2432" i="5"/>
  <c r="G2427" i="5"/>
  <c r="G2425" i="5"/>
  <c r="G2424" i="5"/>
  <c r="D2424" i="5"/>
  <c r="G2423" i="5"/>
  <c r="G2421" i="5"/>
  <c r="G2420" i="5"/>
  <c r="D2420" i="5"/>
  <c r="G2419" i="5"/>
  <c r="G2417" i="5"/>
  <c r="G2416" i="5"/>
  <c r="D2416" i="5"/>
  <c r="D5156" i="5"/>
  <c r="D5150" i="5"/>
  <c r="G5161" i="5"/>
  <c r="G5157" i="5"/>
  <c r="G5155" i="5"/>
  <c r="G5151" i="5"/>
  <c r="D5129" i="5"/>
  <c r="G5136" i="5"/>
  <c r="G5130" i="5"/>
  <c r="G5129" i="5"/>
  <c r="F436" i="6"/>
  <c r="F427" i="6"/>
  <c r="F435" i="6"/>
  <c r="G2141" i="5"/>
  <c r="G2140" i="5"/>
  <c r="G2136" i="5"/>
  <c r="G2134" i="5"/>
  <c r="G2130" i="5"/>
  <c r="G2129" i="5"/>
  <c r="G2128" i="5"/>
  <c r="G2124" i="5"/>
  <c r="G2123" i="5"/>
  <c r="G2122" i="5"/>
  <c r="D34" i="7"/>
  <c r="D33" i="7"/>
  <c r="D32" i="7"/>
  <c r="D31" i="7"/>
  <c r="F416" i="6"/>
  <c r="D36" i="7"/>
  <c r="D35" i="7"/>
  <c r="F372" i="6"/>
  <c r="F363" i="6"/>
  <c r="F358" i="6"/>
  <c r="F357" i="6"/>
  <c r="F356" i="6"/>
  <c r="F350" i="6"/>
  <c r="F338" i="6"/>
  <c r="F336" i="6"/>
  <c r="F335" i="6"/>
  <c r="F325" i="6"/>
  <c r="F323" i="6"/>
  <c r="F322" i="6"/>
  <c r="F311" i="6"/>
  <c r="F310" i="6"/>
  <c r="F297" i="6"/>
  <c r="F296" i="6"/>
  <c r="F293" i="6"/>
  <c r="F286" i="6"/>
  <c r="F278" i="6"/>
  <c r="F277" i="6"/>
  <c r="F276" i="6"/>
  <c r="F275" i="6"/>
  <c r="F274" i="6"/>
  <c r="F265" i="6"/>
  <c r="F264" i="6"/>
  <c r="F254" i="6"/>
  <c r="F252" i="6"/>
  <c r="F251" i="6"/>
  <c r="F239" i="6"/>
  <c r="F226" i="6"/>
  <c r="F225" i="6"/>
  <c r="F224" i="6"/>
  <c r="F221" i="6"/>
  <c r="F220" i="6"/>
  <c r="F216" i="6"/>
  <c r="F208" i="6"/>
  <c r="F207" i="6"/>
  <c r="F204" i="6"/>
  <c r="F202" i="6"/>
  <c r="F199" i="6"/>
  <c r="F197" i="6"/>
  <c r="F193" i="6"/>
  <c r="F191" i="6"/>
  <c r="F181" i="6"/>
  <c r="F180" i="6"/>
  <c r="F179" i="6"/>
  <c r="F178" i="6"/>
  <c r="F177" i="6"/>
  <c r="F169" i="6"/>
  <c r="F166" i="6"/>
  <c r="F165" i="6"/>
  <c r="F155" i="6"/>
  <c r="F153" i="6"/>
  <c r="F149" i="6"/>
  <c r="F148" i="6"/>
  <c r="F147" i="6"/>
  <c r="F135" i="6"/>
  <c r="F131" i="6"/>
  <c r="F129" i="6"/>
  <c r="F125" i="6"/>
  <c r="F123" i="6"/>
  <c r="F119" i="6"/>
  <c r="F118" i="6"/>
  <c r="F112" i="6"/>
  <c r="F106" i="6"/>
  <c r="F105" i="6"/>
  <c r="F104" i="6"/>
  <c r="F103" i="6"/>
  <c r="F97" i="6"/>
  <c r="F96" i="6"/>
  <c r="F95" i="6"/>
  <c r="F94" i="6"/>
  <c r="F93" i="6"/>
  <c r="F87" i="6"/>
  <c r="F86" i="6"/>
  <c r="F85" i="6"/>
  <c r="F80" i="6"/>
  <c r="F79" i="6"/>
  <c r="F70" i="6"/>
  <c r="F69" i="6"/>
  <c r="F61" i="6"/>
  <c r="F60" i="6"/>
  <c r="F59" i="6"/>
  <c r="F58" i="6"/>
  <c r="F49" i="6"/>
  <c r="F48" i="6"/>
  <c r="F39" i="6"/>
  <c r="F38" i="6"/>
  <c r="F37" i="6"/>
  <c r="F26" i="6"/>
  <c r="F22" i="6"/>
  <c r="F20" i="6"/>
  <c r="F14" i="6"/>
  <c r="F13" i="6"/>
  <c r="F6" i="6"/>
  <c r="F49" i="7"/>
  <c r="G5149" i="5"/>
  <c r="G5144" i="5"/>
  <c r="D5143" i="5"/>
  <c r="G5142" i="5"/>
  <c r="G5138" i="5"/>
  <c r="D5137" i="5"/>
  <c r="G5128" i="5"/>
  <c r="G5115" i="5"/>
  <c r="D5114" i="5"/>
  <c r="G5113" i="5"/>
  <c r="G5109" i="5"/>
  <c r="D5108" i="5"/>
  <c r="G5107" i="5"/>
  <c r="G5103" i="5"/>
  <c r="D5102" i="5"/>
  <c r="G5101" i="5"/>
  <c r="G5097" i="5"/>
  <c r="G5096" i="5"/>
  <c r="D5096" i="5"/>
  <c r="G5095" i="5"/>
  <c r="G5090" i="5"/>
  <c r="D5089" i="5"/>
  <c r="G5088" i="5"/>
  <c r="G5083" i="5"/>
  <c r="D5082" i="5"/>
  <c r="G5081" i="5"/>
  <c r="G5068" i="5"/>
  <c r="D5067" i="5"/>
  <c r="G5066" i="5"/>
  <c r="G5053" i="5"/>
  <c r="G5052" i="5"/>
  <c r="D5052" i="5"/>
  <c r="G5051" i="5"/>
  <c r="G5045" i="5"/>
  <c r="D5044" i="5"/>
  <c r="G5043" i="5"/>
  <c r="G5037" i="5"/>
  <c r="D5036" i="5"/>
  <c r="G5035" i="5"/>
  <c r="G5029" i="5"/>
  <c r="D5028" i="5"/>
  <c r="G5027" i="5"/>
  <c r="G5023" i="5"/>
  <c r="D5022" i="5"/>
  <c r="G5021" i="5"/>
  <c r="G5015" i="5"/>
  <c r="D5014" i="5"/>
  <c r="G5013" i="5"/>
  <c r="G5009" i="5"/>
  <c r="D5008" i="5"/>
  <c r="G5007" i="5"/>
  <c r="G5001" i="5"/>
  <c r="D5000" i="5"/>
  <c r="G4999" i="5"/>
  <c r="G4993" i="5"/>
  <c r="G4992" i="5"/>
  <c r="D4992" i="5"/>
  <c r="G4991" i="5"/>
  <c r="G4985" i="5"/>
  <c r="D4984" i="5"/>
  <c r="G4983" i="5"/>
  <c r="G4977" i="5"/>
  <c r="D4976" i="5"/>
  <c r="G4975" i="5"/>
  <c r="G4971" i="5"/>
  <c r="D4970" i="5"/>
  <c r="G4969" i="5"/>
  <c r="G4958" i="5"/>
  <c r="D4957" i="5"/>
  <c r="G4956" i="5"/>
  <c r="G4951" i="5"/>
  <c r="D4950" i="5"/>
  <c r="E2251" i="5"/>
  <c r="E2317" i="5"/>
  <c r="E2305" i="5"/>
  <c r="E2293" i="5"/>
  <c r="E2281" i="5"/>
  <c r="E2269" i="5"/>
  <c r="G4949" i="5"/>
  <c r="G4944" i="5"/>
  <c r="D4943" i="5"/>
  <c r="G4942" i="5"/>
  <c r="G4938" i="5"/>
  <c r="D4937" i="5"/>
  <c r="G4936" i="5"/>
  <c r="G4932" i="5"/>
  <c r="D4931" i="5"/>
  <c r="G4930" i="5"/>
  <c r="G4926" i="5"/>
  <c r="D4925" i="5"/>
  <c r="G4924" i="5"/>
  <c r="G4920" i="5"/>
  <c r="D4919" i="5"/>
  <c r="G4918" i="5"/>
  <c r="G4912" i="5"/>
  <c r="G4911" i="5"/>
  <c r="D4911" i="5"/>
  <c r="G4910" i="5"/>
  <c r="G4905" i="5"/>
  <c r="D4904" i="5"/>
  <c r="G4903" i="5"/>
  <c r="G4898" i="5"/>
  <c r="G4897" i="5"/>
  <c r="D4897" i="5"/>
  <c r="G4896" i="5"/>
  <c r="G4891" i="5"/>
  <c r="D4890" i="5"/>
  <c r="G4889" i="5"/>
  <c r="G4885" i="5"/>
  <c r="D4884" i="5"/>
  <c r="G4883" i="5"/>
  <c r="G4879" i="5"/>
  <c r="D4878" i="5"/>
  <c r="G4877" i="5"/>
  <c r="G4875" i="5"/>
  <c r="G4874" i="5"/>
  <c r="D4874" i="5"/>
  <c r="G4867" i="5"/>
  <c r="G4861" i="5"/>
  <c r="D4860" i="5"/>
  <c r="G4873" i="5"/>
  <c r="G4869" i="5"/>
  <c r="G4868" i="5"/>
  <c r="D4868" i="5"/>
  <c r="G4859" i="5"/>
  <c r="G4856" i="5"/>
  <c r="G4855" i="5"/>
  <c r="D4855" i="5"/>
  <c r="G4854" i="5"/>
  <c r="G4849" i="5"/>
  <c r="G4848" i="5"/>
  <c r="D4848" i="5"/>
  <c r="G4847" i="5"/>
  <c r="G4843" i="5"/>
  <c r="D4842" i="5"/>
  <c r="G4841" i="5"/>
  <c r="G4837" i="5"/>
  <c r="D4836" i="5"/>
  <c r="G4835" i="5"/>
  <c r="G4831" i="5"/>
  <c r="G4830" i="5"/>
  <c r="D4830" i="5"/>
  <c r="G4829" i="5"/>
  <c r="G4825" i="5"/>
  <c r="D4824" i="5"/>
  <c r="G4823" i="5"/>
  <c r="G4820" i="5"/>
  <c r="G4819" i="5"/>
  <c r="D4819" i="5"/>
  <c r="G4818" i="5"/>
  <c r="G4813" i="5"/>
  <c r="D4812" i="5"/>
  <c r="G4811" i="5"/>
  <c r="G4806" i="5"/>
  <c r="D4805" i="5"/>
  <c r="D4798" i="5"/>
  <c r="G4799" i="5"/>
  <c r="G4804" i="5"/>
  <c r="G4797" i="5"/>
  <c r="G4792" i="5"/>
  <c r="D4791" i="5"/>
  <c r="G4790" i="5"/>
  <c r="G4787" i="5"/>
  <c r="G4786" i="5"/>
  <c r="D4786" i="5"/>
  <c r="G4785" i="5"/>
  <c r="G4780" i="5"/>
  <c r="D4779" i="5"/>
  <c r="G4778" i="5"/>
  <c r="G4773" i="5"/>
  <c r="D4772" i="5"/>
  <c r="G4771" i="5"/>
  <c r="G4766" i="5"/>
  <c r="D4765" i="5"/>
  <c r="G4764" i="5"/>
  <c r="G4759" i="5"/>
  <c r="D4758" i="5"/>
  <c r="G4757" i="5"/>
  <c r="G4752" i="5"/>
  <c r="D4751" i="5"/>
  <c r="G4750" i="5"/>
  <c r="G4744" i="5"/>
  <c r="D4743" i="5"/>
  <c r="G4742" i="5"/>
  <c r="G4734" i="5"/>
  <c r="D4733" i="5"/>
  <c r="G4732" i="5"/>
  <c r="G4726" i="5"/>
  <c r="G4725" i="5"/>
  <c r="D4725" i="5"/>
  <c r="G4724" i="5"/>
  <c r="G4718" i="5"/>
  <c r="G4717" i="5"/>
  <c r="D4717" i="5"/>
  <c r="G4716" i="5"/>
  <c r="G4710" i="5"/>
  <c r="G4709" i="5"/>
  <c r="D4709" i="5"/>
  <c r="G4708" i="5"/>
  <c r="G4702" i="5"/>
  <c r="G4701" i="5"/>
  <c r="D4701" i="5"/>
  <c r="G4700" i="5"/>
  <c r="G4694" i="5"/>
  <c r="G4693" i="5"/>
  <c r="D4693" i="5"/>
  <c r="G4692" i="5"/>
  <c r="G4686" i="5"/>
  <c r="G4685" i="5"/>
  <c r="D4685" i="5"/>
  <c r="G4684" i="5"/>
  <c r="G4678" i="5"/>
  <c r="G4677" i="5"/>
  <c r="D4677" i="5"/>
  <c r="G4675" i="5"/>
  <c r="G4670" i="5"/>
  <c r="G4669" i="5"/>
  <c r="D4669" i="5"/>
  <c r="G4668" i="5"/>
  <c r="G4665" i="5"/>
  <c r="G4664" i="5"/>
  <c r="D4664" i="5"/>
  <c r="G4663" i="5"/>
  <c r="G4660" i="5"/>
  <c r="G4659" i="5"/>
  <c r="D4659" i="5"/>
  <c r="G4658" i="5"/>
  <c r="G4655" i="5"/>
  <c r="G4654" i="5"/>
  <c r="D4654" i="5"/>
  <c r="G4645" i="5"/>
  <c r="G4653" i="5"/>
  <c r="D4644" i="5"/>
  <c r="G4643" i="5"/>
  <c r="G4635" i="5"/>
  <c r="D4634" i="5"/>
  <c r="G2765" i="5"/>
  <c r="G2762" i="5"/>
  <c r="G2761" i="5"/>
  <c r="D2761" i="5"/>
  <c r="G2760" i="5"/>
  <c r="G2757" i="5"/>
  <c r="G2756" i="5"/>
  <c r="D2756" i="5"/>
  <c r="F38" i="7"/>
  <c r="F37" i="7"/>
  <c r="F25" i="7"/>
  <c r="F23" i="7"/>
  <c r="F18" i="7"/>
  <c r="F16" i="7"/>
  <c r="F12" i="7"/>
  <c r="F10" i="7"/>
  <c r="G4633" i="5"/>
  <c r="G4630" i="5"/>
  <c r="G4629" i="5"/>
  <c r="G4628" i="5"/>
  <c r="G4619" i="5"/>
  <c r="G4618" i="5"/>
  <c r="G4617" i="5"/>
  <c r="G4616" i="5"/>
  <c r="G4615" i="5"/>
  <c r="G4611" i="5"/>
  <c r="G4610" i="5"/>
  <c r="G4609" i="5"/>
  <c r="G4608" i="5"/>
  <c r="G4607" i="5"/>
  <c r="G4605" i="5"/>
  <c r="G4604" i="5"/>
  <c r="G4603" i="5"/>
  <c r="G4602" i="5"/>
  <c r="G4601" i="5"/>
  <c r="G4600" i="5"/>
  <c r="G4593" i="5"/>
  <c r="G4591" i="5"/>
  <c r="G4584" i="5"/>
  <c r="G4582" i="5"/>
  <c r="G4581" i="5"/>
  <c r="G4580" i="5"/>
  <c r="G4579" i="5"/>
  <c r="G4576" i="5"/>
  <c r="G4575" i="5"/>
  <c r="G4574" i="5"/>
  <c r="G4570" i="5"/>
  <c r="G4568" i="5"/>
  <c r="G4560" i="5"/>
  <c r="G4559" i="5"/>
  <c r="G4558" i="5"/>
  <c r="G4552" i="5"/>
  <c r="G4550" i="5"/>
  <c r="G4544" i="5"/>
  <c r="G4542" i="5"/>
  <c r="G4538" i="5"/>
  <c r="G4536" i="5"/>
  <c r="G4535" i="5"/>
  <c r="G4534" i="5"/>
  <c r="G4533" i="5"/>
  <c r="G4530" i="5"/>
  <c r="G4529" i="5"/>
  <c r="G4528" i="5"/>
  <c r="G4527" i="5"/>
  <c r="G4526" i="5"/>
  <c r="G4518" i="5"/>
  <c r="G4517" i="5"/>
  <c r="G4516" i="5"/>
  <c r="G4512" i="5"/>
  <c r="G4511" i="5"/>
  <c r="G4510" i="5"/>
  <c r="G4509" i="5"/>
  <c r="G4508" i="5"/>
  <c r="G4504" i="5"/>
  <c r="G4503" i="5"/>
  <c r="G4502" i="5"/>
  <c r="G4495" i="5"/>
  <c r="G4493" i="5"/>
  <c r="G4487" i="5"/>
  <c r="G4485" i="5"/>
  <c r="G4484" i="5"/>
  <c r="G4483" i="5"/>
  <c r="G4468" i="5"/>
  <c r="G4467" i="5"/>
  <c r="G4466" i="5"/>
  <c r="G4456" i="5"/>
  <c r="G4455" i="5"/>
  <c r="G4454" i="5"/>
  <c r="G4444" i="5"/>
  <c r="G4443" i="5"/>
  <c r="G4442" i="5"/>
  <c r="G4438" i="5"/>
  <c r="G4437" i="5"/>
  <c r="G4436" i="5"/>
  <c r="G4432" i="5"/>
  <c r="G4430" i="5"/>
  <c r="G4424" i="5"/>
  <c r="G4422" i="5"/>
  <c r="G4418" i="5"/>
  <c r="G4416" i="5"/>
  <c r="G4413" i="5"/>
  <c r="G4412" i="5"/>
  <c r="G4411" i="5"/>
  <c r="G4408" i="5"/>
  <c r="G4407" i="5"/>
  <c r="G4406" i="5"/>
  <c r="G4402" i="5"/>
  <c r="G4400" i="5"/>
  <c r="G4394" i="5"/>
  <c r="G4392" i="5"/>
  <c r="G4386" i="5"/>
  <c r="G4385" i="5"/>
  <c r="G4384" i="5"/>
  <c r="G4366" i="5"/>
  <c r="G4364" i="5"/>
  <c r="G4360" i="5"/>
  <c r="G4359" i="5"/>
  <c r="G4358" i="5"/>
  <c r="G4351" i="5"/>
  <c r="G4349" i="5"/>
  <c r="G4335" i="5"/>
  <c r="G4333" i="5"/>
  <c r="G4327" i="5"/>
  <c r="G4326" i="5"/>
  <c r="G4325" i="5"/>
  <c r="G4317" i="5"/>
  <c r="G4315" i="5"/>
  <c r="G4307" i="5"/>
  <c r="G4306" i="5"/>
  <c r="G4305" i="5"/>
  <c r="G4297" i="5"/>
  <c r="G4295" i="5"/>
  <c r="G4289" i="5"/>
  <c r="G4288" i="5"/>
  <c r="G4287" i="5"/>
  <c r="G4281" i="5"/>
  <c r="G4280" i="5"/>
  <c r="G4279" i="5"/>
  <c r="G4271" i="5"/>
  <c r="G4270" i="5"/>
  <c r="G4269" i="5"/>
  <c r="G4262" i="5"/>
  <c r="G4261" i="5"/>
  <c r="G4260" i="5"/>
  <c r="G4253" i="5"/>
  <c r="G4251" i="5"/>
  <c r="G4244" i="5"/>
  <c r="G4243" i="5"/>
  <c r="G4242" i="5"/>
  <c r="G4235" i="5"/>
  <c r="G4234" i="5"/>
  <c r="G4233" i="5"/>
  <c r="G4225" i="5"/>
  <c r="G4223" i="5"/>
  <c r="G4218" i="5"/>
  <c r="G4217" i="5"/>
  <c r="G4216" i="5"/>
  <c r="G4215" i="5"/>
  <c r="G4214" i="5"/>
  <c r="G4191" i="5"/>
  <c r="G4190" i="5"/>
  <c r="G4189" i="5"/>
  <c r="G4188" i="5"/>
  <c r="G4187" i="5"/>
  <c r="G4175" i="5"/>
  <c r="G4173" i="5"/>
  <c r="G4166" i="5"/>
  <c r="G4165" i="5"/>
  <c r="G4164" i="5"/>
  <c r="G4156" i="5"/>
  <c r="G4154" i="5"/>
  <c r="G4151" i="5"/>
  <c r="G4150" i="5"/>
  <c r="G4149" i="5"/>
  <c r="G4143" i="5"/>
  <c r="G4141" i="5"/>
  <c r="G4136" i="5"/>
  <c r="G4134" i="5"/>
  <c r="G4130" i="5"/>
  <c r="G4128" i="5"/>
  <c r="G4127" i="5"/>
  <c r="G4126" i="5"/>
  <c r="G4122" i="5"/>
  <c r="G4120" i="5"/>
  <c r="G4116" i="5"/>
  <c r="G4114" i="5"/>
  <c r="G4106" i="5"/>
  <c r="G4104" i="5"/>
  <c r="G4100" i="5"/>
  <c r="G4099" i="5"/>
  <c r="G4098" i="5"/>
  <c r="G4094" i="5"/>
  <c r="G4093" i="5"/>
  <c r="G4092" i="5"/>
  <c r="G4088" i="5"/>
  <c r="G4087" i="5"/>
  <c r="G4086" i="5"/>
  <c r="G4081" i="5"/>
  <c r="G4079" i="5"/>
  <c r="G4074" i="5"/>
  <c r="G4072" i="5"/>
  <c r="G4070" i="5"/>
  <c r="G4069" i="5"/>
  <c r="G4068" i="5"/>
  <c r="G4067" i="5"/>
  <c r="G4066" i="5"/>
  <c r="G4059" i="5"/>
  <c r="G4058" i="5"/>
  <c r="G4057" i="5"/>
  <c r="G4048" i="5"/>
  <c r="G4047" i="5"/>
  <c r="G4046" i="5"/>
  <c r="G4041" i="5"/>
  <c r="G4040" i="5"/>
  <c r="G4039" i="5"/>
  <c r="G4031" i="5"/>
  <c r="G4029" i="5"/>
  <c r="G4023" i="5"/>
  <c r="G4021" i="5"/>
  <c r="G4015" i="5"/>
  <c r="G4013" i="5"/>
  <c r="G4007" i="5"/>
  <c r="G4006" i="5"/>
  <c r="G4005" i="5"/>
  <c r="G4000" i="5"/>
  <c r="G3999" i="5"/>
  <c r="G3998" i="5"/>
  <c r="G3996" i="5"/>
  <c r="G3995" i="5"/>
  <c r="G3994" i="5"/>
  <c r="G3993" i="5"/>
  <c r="G3992" i="5"/>
  <c r="G3990" i="5"/>
  <c r="G3989" i="5"/>
  <c r="G3988" i="5"/>
  <c r="G3983" i="5"/>
  <c r="G3982" i="5"/>
  <c r="G3981" i="5"/>
  <c r="G3977" i="5"/>
  <c r="G3976" i="5"/>
  <c r="G3975" i="5"/>
  <c r="G3971" i="5"/>
  <c r="G3969" i="5"/>
  <c r="G3962" i="5"/>
  <c r="G3961" i="5"/>
  <c r="G3960" i="5"/>
  <c r="G3953" i="5"/>
  <c r="G3951" i="5"/>
  <c r="G3944" i="5"/>
  <c r="G3942" i="5"/>
  <c r="G3935" i="5"/>
  <c r="G3933" i="5"/>
  <c r="G3926" i="5"/>
  <c r="G3925" i="5"/>
  <c r="G3924" i="5"/>
  <c r="G3917" i="5"/>
  <c r="G3915" i="5"/>
  <c r="G3913" i="5"/>
  <c r="G3911" i="5"/>
  <c r="G3909" i="5"/>
  <c r="G3907" i="5"/>
  <c r="G3904" i="5"/>
  <c r="G3903" i="5"/>
  <c r="G3902" i="5"/>
  <c r="G3891" i="5"/>
  <c r="G3889" i="5"/>
  <c r="G3888" i="5"/>
  <c r="G3887" i="5"/>
  <c r="G3878" i="5"/>
  <c r="G3877" i="5"/>
  <c r="G3876" i="5"/>
  <c r="G3870" i="5"/>
  <c r="G3868" i="5"/>
  <c r="G3863" i="5"/>
  <c r="G3861" i="5"/>
  <c r="G3855" i="5"/>
  <c r="G3854" i="5"/>
  <c r="G3853" i="5"/>
  <c r="G3848" i="5"/>
  <c r="G3846" i="5"/>
  <c r="G3839" i="5"/>
  <c r="G3837" i="5"/>
  <c r="G3832" i="5"/>
  <c r="G3830" i="5"/>
  <c r="G3826" i="5"/>
  <c r="G3825" i="5"/>
  <c r="G3824" i="5"/>
  <c r="G3820" i="5"/>
  <c r="G3819" i="5"/>
  <c r="G3818" i="5"/>
  <c r="G3814" i="5"/>
  <c r="G3813" i="5"/>
  <c r="G3812" i="5"/>
  <c r="G3798" i="5"/>
  <c r="G3796" i="5"/>
  <c r="G3791" i="5"/>
  <c r="G3790" i="5"/>
  <c r="G3789" i="5"/>
  <c r="G3776" i="5"/>
  <c r="G3774" i="5"/>
  <c r="G3773" i="5"/>
  <c r="G3772" i="5"/>
  <c r="G3764" i="5"/>
  <c r="G3763" i="5"/>
  <c r="G3762" i="5"/>
  <c r="G3756" i="5"/>
  <c r="G3755" i="5"/>
  <c r="G3754" i="5"/>
  <c r="G3747" i="5"/>
  <c r="G3745" i="5"/>
  <c r="G3737" i="5"/>
  <c r="G3736" i="5"/>
  <c r="G3735" i="5"/>
  <c r="G3734" i="5"/>
  <c r="G3733" i="5"/>
  <c r="G3726" i="5"/>
  <c r="G3725" i="5"/>
  <c r="G3724" i="5"/>
  <c r="G3721" i="5"/>
  <c r="G3720" i="5"/>
  <c r="G3715" i="5"/>
  <c r="G3714" i="5"/>
  <c r="G3711" i="5"/>
  <c r="G3709" i="5"/>
  <c r="G3707" i="5"/>
  <c r="G3705" i="5"/>
  <c r="G3703" i="5"/>
  <c r="G3701" i="5"/>
  <c r="G3694" i="5"/>
  <c r="G3692" i="5"/>
  <c r="G3691" i="5"/>
  <c r="G3690" i="5"/>
  <c r="G3689" i="5"/>
  <c r="G3685" i="5"/>
  <c r="G3684" i="5"/>
  <c r="G3683" i="5"/>
  <c r="G3680" i="5"/>
  <c r="G3679" i="5"/>
  <c r="G3678" i="5"/>
  <c r="G3670" i="5"/>
  <c r="G3669" i="5"/>
  <c r="G3668" i="5"/>
  <c r="G3666" i="5"/>
  <c r="G3665" i="5"/>
  <c r="G3664" i="5"/>
  <c r="G3663" i="5"/>
  <c r="G3662" i="5"/>
  <c r="G3655" i="5"/>
  <c r="G3654" i="5"/>
  <c r="G3642" i="5"/>
  <c r="G3641" i="5"/>
  <c r="G3640" i="5"/>
  <c r="G3630" i="5"/>
  <c r="G3628" i="5"/>
  <c r="G3627" i="5"/>
  <c r="G3626" i="5"/>
  <c r="G3622" i="5"/>
  <c r="G3620" i="5"/>
  <c r="G3619" i="5"/>
  <c r="G3607" i="5"/>
  <c r="G3606" i="5"/>
  <c r="G3605" i="5"/>
  <c r="G3601" i="5"/>
  <c r="G3599" i="5"/>
  <c r="G3597" i="5"/>
  <c r="G3596" i="5"/>
  <c r="G3595" i="5"/>
  <c r="G3589" i="5"/>
  <c r="G3588" i="5"/>
  <c r="G3587" i="5"/>
  <c r="G3584" i="5"/>
  <c r="G3582" i="5"/>
  <c r="G3579" i="5"/>
  <c r="G3578" i="5"/>
  <c r="G3577" i="5"/>
  <c r="G3569" i="5"/>
  <c r="G3567" i="5"/>
  <c r="G3563" i="5"/>
  <c r="G3561" i="5"/>
  <c r="G3556" i="5"/>
  <c r="G3554" i="5"/>
  <c r="G3550" i="5"/>
  <c r="G3549" i="5"/>
  <c r="G3548" i="5"/>
  <c r="G3542" i="5"/>
  <c r="G3541" i="5"/>
  <c r="G3540" i="5"/>
  <c r="G3537" i="5"/>
  <c r="G3536" i="5"/>
  <c r="G3535" i="5"/>
  <c r="G3530" i="5"/>
  <c r="G3529" i="5"/>
  <c r="G3528" i="5"/>
  <c r="G3522" i="5"/>
  <c r="G3520" i="5"/>
  <c r="G3516" i="5"/>
  <c r="G3515" i="5"/>
  <c r="G3514" i="5"/>
  <c r="G3510" i="5"/>
  <c r="G3509" i="5"/>
  <c r="G3508" i="5"/>
  <c r="G3507" i="5"/>
  <c r="G3506" i="5"/>
  <c r="G3505" i="5"/>
  <c r="G3494" i="5"/>
  <c r="G3493" i="5"/>
  <c r="G3492" i="5"/>
  <c r="G3487" i="5"/>
  <c r="G3486" i="5"/>
  <c r="G3485" i="5"/>
  <c r="G3484" i="5"/>
  <c r="G3483" i="5"/>
  <c r="G3482" i="5"/>
  <c r="G3475" i="5"/>
  <c r="G3474" i="5"/>
  <c r="G3473" i="5"/>
  <c r="G3472" i="5"/>
  <c r="G3471" i="5"/>
  <c r="G3470" i="5"/>
  <c r="G3458" i="5"/>
  <c r="G3457" i="5"/>
  <c r="G3456" i="5"/>
  <c r="G3450" i="5"/>
  <c r="G3449" i="5"/>
  <c r="G3448" i="5"/>
  <c r="G3447" i="5"/>
  <c r="G3446" i="5"/>
  <c r="G3445" i="5"/>
  <c r="G3433" i="5"/>
  <c r="G3432" i="5"/>
  <c r="G3431" i="5"/>
  <c r="G3425" i="5"/>
  <c r="G3424" i="5"/>
  <c r="G3423" i="5"/>
  <c r="G3422" i="5"/>
  <c r="G3421" i="5"/>
  <c r="G3414" i="5"/>
  <c r="G3413" i="5"/>
  <c r="G3412" i="5"/>
  <c r="G3411" i="5"/>
  <c r="G3410" i="5"/>
  <c r="G3404" i="5"/>
  <c r="G3403" i="5"/>
  <c r="G3402" i="5"/>
  <c r="G3400" i="5"/>
  <c r="G3399" i="5"/>
  <c r="G3398" i="5"/>
  <c r="G3396" i="5"/>
  <c r="G3395" i="5"/>
  <c r="G3394" i="5"/>
  <c r="G3391" i="5"/>
  <c r="G3390" i="5"/>
  <c r="G3389" i="5"/>
  <c r="G3386" i="5"/>
  <c r="G3385" i="5"/>
  <c r="G3384" i="5"/>
  <c r="G3381" i="5"/>
  <c r="G3380" i="5"/>
  <c r="G3379" i="5"/>
  <c r="G3374" i="5"/>
  <c r="G3373" i="5"/>
  <c r="G3372" i="5"/>
  <c r="G3367" i="5"/>
  <c r="G3365" i="5"/>
  <c r="G3360" i="5"/>
  <c r="G3358" i="5"/>
  <c r="G3356" i="5"/>
  <c r="G3355" i="5"/>
  <c r="G3352" i="5"/>
  <c r="G3351" i="5"/>
  <c r="G3350" i="5"/>
  <c r="G3347" i="5"/>
  <c r="G3345" i="5"/>
  <c r="G3343" i="5"/>
  <c r="G3341" i="5"/>
  <c r="G3339" i="5"/>
  <c r="G3338" i="5"/>
  <c r="G3337" i="5"/>
  <c r="G3332" i="5"/>
  <c r="G3331" i="5"/>
  <c r="G3330" i="5"/>
  <c r="G3325" i="5"/>
  <c r="G3323" i="5"/>
  <c r="G3318" i="5"/>
  <c r="G3316" i="5"/>
  <c r="G3313" i="5"/>
  <c r="G3312" i="5"/>
  <c r="G3311" i="5"/>
  <c r="G3310" i="5"/>
  <c r="G3309" i="5"/>
  <c r="G3304" i="5"/>
  <c r="G3302" i="5"/>
  <c r="G3298" i="5"/>
  <c r="G3297" i="5"/>
  <c r="G3296" i="5"/>
  <c r="G3292" i="5"/>
  <c r="G3291" i="5"/>
  <c r="G3290" i="5"/>
  <c r="G3285" i="5"/>
  <c r="G3283" i="5"/>
  <c r="G3278" i="5"/>
  <c r="G3276" i="5"/>
  <c r="G3271" i="5"/>
  <c r="G3269" i="5"/>
  <c r="G3264" i="5"/>
  <c r="G3262" i="5"/>
  <c r="G3257" i="5"/>
  <c r="G3255" i="5"/>
  <c r="G3250" i="5"/>
  <c r="G3248" i="5"/>
  <c r="G3243" i="5"/>
  <c r="G3242" i="5"/>
  <c r="G3241" i="5"/>
  <c r="G3236" i="5"/>
  <c r="G3235" i="5"/>
  <c r="G3234" i="5"/>
  <c r="G3229" i="5"/>
  <c r="G3227" i="5"/>
  <c r="G3222" i="5"/>
  <c r="G3220" i="5"/>
  <c r="G3217" i="5"/>
  <c r="G3216" i="5"/>
  <c r="G3215" i="5"/>
  <c r="G3207" i="5"/>
  <c r="G3206" i="5"/>
  <c r="G3205" i="5"/>
  <c r="G3201" i="5"/>
  <c r="G3200" i="5"/>
  <c r="G3199" i="5"/>
  <c r="G3195" i="5"/>
  <c r="G3194" i="5"/>
  <c r="G3193" i="5"/>
  <c r="G3189" i="5"/>
  <c r="G3187" i="5"/>
  <c r="G3186" i="5"/>
  <c r="G3185" i="5"/>
  <c r="G3176" i="5"/>
  <c r="G3174" i="5"/>
  <c r="G3169" i="5"/>
  <c r="G3167" i="5"/>
  <c r="G3165" i="5"/>
  <c r="G3164" i="5"/>
  <c r="G3163" i="5"/>
  <c r="G3160" i="5"/>
  <c r="G3159" i="5"/>
  <c r="G3158" i="5"/>
  <c r="G3152" i="5"/>
  <c r="G3150" i="5"/>
  <c r="G3144" i="5"/>
  <c r="G3142" i="5"/>
  <c r="G3138" i="5"/>
  <c r="G3137" i="5"/>
  <c r="G3136" i="5"/>
  <c r="G3133" i="5"/>
  <c r="G3132" i="5"/>
  <c r="G3131" i="5"/>
  <c r="G3126" i="5"/>
  <c r="G3125" i="5"/>
  <c r="G3124" i="5"/>
  <c r="G3120" i="5"/>
  <c r="G3119" i="5"/>
  <c r="G3118" i="5"/>
  <c r="G3114" i="5"/>
  <c r="G3113" i="5"/>
  <c r="G3112" i="5"/>
  <c r="G3107" i="5"/>
  <c r="G3105" i="5"/>
  <c r="G3100" i="5"/>
  <c r="G3099" i="5"/>
  <c r="G3098" i="5"/>
  <c r="G3097" i="5"/>
  <c r="G3096" i="5"/>
  <c r="G3094" i="5"/>
  <c r="G3092" i="5"/>
  <c r="G3089" i="5"/>
  <c r="G3088" i="5"/>
  <c r="G3087" i="5"/>
  <c r="G3084" i="5"/>
  <c r="G3083" i="5"/>
  <c r="G3082" i="5"/>
  <c r="G3079" i="5"/>
  <c r="G3078" i="5"/>
  <c r="G3077" i="5"/>
  <c r="G3074" i="5"/>
  <c r="G3073" i="5"/>
  <c r="G3072" i="5"/>
  <c r="G3069" i="5"/>
  <c r="G3068" i="5"/>
  <c r="G3067" i="5"/>
  <c r="G3064" i="5"/>
  <c r="G3063" i="5"/>
  <c r="G3062" i="5"/>
  <c r="G3059" i="5"/>
  <c r="G3058" i="5"/>
  <c r="G3057" i="5"/>
  <c r="G3054" i="5"/>
  <c r="G3053" i="5"/>
  <c r="G3052" i="5"/>
  <c r="G3049" i="5"/>
  <c r="G3048" i="5"/>
  <c r="G3047" i="5"/>
  <c r="G3041" i="5"/>
  <c r="G3039" i="5"/>
  <c r="G3036" i="5"/>
  <c r="G3035" i="5"/>
  <c r="G3034" i="5"/>
  <c r="G3029" i="5"/>
  <c r="G3027" i="5"/>
  <c r="G3025" i="5"/>
  <c r="G3024" i="5"/>
  <c r="G3023" i="5"/>
  <c r="G3022" i="5"/>
  <c r="G3021" i="5"/>
  <c r="G3020" i="5"/>
  <c r="G3017" i="5"/>
  <c r="G3016" i="5"/>
  <c r="G3015" i="5"/>
  <c r="G3012" i="5"/>
  <c r="G3011" i="5"/>
  <c r="G3010" i="5"/>
  <c r="G3009" i="5"/>
  <c r="G3008" i="5"/>
  <c r="G3007" i="5"/>
  <c r="G3004" i="5"/>
  <c r="G3003" i="5"/>
  <c r="G3002" i="5"/>
  <c r="G2999" i="5"/>
  <c r="G2998" i="5"/>
  <c r="G2997" i="5"/>
  <c r="G2994" i="5"/>
  <c r="G2993" i="5"/>
  <c r="G2992" i="5"/>
  <c r="G2989" i="5"/>
  <c r="G2988" i="5"/>
  <c r="G2987" i="5"/>
  <c r="G2984" i="5"/>
  <c r="G2983" i="5"/>
  <c r="G2982" i="5"/>
  <c r="G2979" i="5"/>
  <c r="G2978" i="5"/>
  <c r="G2977" i="5"/>
  <c r="G2974" i="5"/>
  <c r="G2973" i="5"/>
  <c r="G2972" i="5"/>
  <c r="G2969" i="5"/>
  <c r="G2968" i="5"/>
  <c r="G2967" i="5"/>
  <c r="G2964" i="5"/>
  <c r="G2963" i="5"/>
  <c r="G2962" i="5"/>
  <c r="G2959" i="5"/>
  <c r="G2958" i="5"/>
  <c r="G2957" i="5"/>
  <c r="G2952" i="5"/>
  <c r="G2950" i="5"/>
  <c r="G2947" i="5"/>
  <c r="G2946" i="5"/>
  <c r="G2945" i="5"/>
  <c r="G2942" i="5"/>
  <c r="G2941" i="5"/>
  <c r="G2940" i="5"/>
  <c r="G2937" i="5"/>
  <c r="G2936" i="5"/>
  <c r="G2935" i="5"/>
  <c r="G2932" i="5"/>
  <c r="G2931" i="5"/>
  <c r="G2930" i="5"/>
  <c r="G2927" i="5"/>
  <c r="G2926" i="5"/>
  <c r="G2925" i="5"/>
  <c r="G2922" i="5"/>
  <c r="G2921" i="5"/>
  <c r="G2920" i="5"/>
  <c r="G2917" i="5"/>
  <c r="G2916" i="5"/>
  <c r="G2915" i="5"/>
  <c r="G2912" i="5"/>
  <c r="G2911" i="5"/>
  <c r="G2910" i="5"/>
  <c r="G2907" i="5"/>
  <c r="G2906" i="5"/>
  <c r="G2905" i="5"/>
  <c r="G2902" i="5"/>
  <c r="G2901" i="5"/>
  <c r="G2900" i="5"/>
  <c r="G2899" i="5"/>
  <c r="G2898" i="5"/>
  <c r="G2897" i="5"/>
  <c r="G2894" i="5"/>
  <c r="G2893" i="5"/>
  <c r="G2892" i="5"/>
  <c r="G2891" i="5"/>
  <c r="G2890" i="5"/>
  <c r="G2889" i="5"/>
  <c r="G2886" i="5"/>
  <c r="G2885" i="5"/>
  <c r="G2884" i="5"/>
  <c r="G2883" i="5"/>
  <c r="G2882" i="5"/>
  <c r="G2881" i="5"/>
  <c r="G2878" i="5"/>
  <c r="G2877" i="5"/>
  <c r="G2876" i="5"/>
  <c r="G2875" i="5"/>
  <c r="G2874" i="5"/>
  <c r="G2873" i="5"/>
  <c r="G2870" i="5"/>
  <c r="G2869" i="5"/>
  <c r="G2868" i="5"/>
  <c r="G2867" i="5"/>
  <c r="G2866" i="5"/>
  <c r="G2865" i="5"/>
  <c r="G2862" i="5"/>
  <c r="G2861" i="5"/>
  <c r="G2860" i="5"/>
  <c r="G2857" i="5"/>
  <c r="G2856" i="5"/>
  <c r="G2855" i="5"/>
  <c r="G2852" i="5"/>
  <c r="G2851" i="5"/>
  <c r="G2850" i="5"/>
  <c r="G2847" i="5"/>
  <c r="G2846" i="5"/>
  <c r="G2845" i="5"/>
  <c r="G2844" i="5"/>
  <c r="G2843" i="5"/>
  <c r="G2836" i="5"/>
  <c r="G2834" i="5"/>
  <c r="G2831" i="5"/>
  <c r="G2830" i="5"/>
  <c r="G2829" i="5"/>
  <c r="G2826" i="5"/>
  <c r="G2825" i="5"/>
  <c r="G2824" i="5"/>
  <c r="G2821" i="5"/>
  <c r="G2820" i="5"/>
  <c r="G2819" i="5"/>
  <c r="G2816" i="5"/>
  <c r="G2815" i="5"/>
  <c r="G2814" i="5"/>
  <c r="G2811" i="5"/>
  <c r="G2810" i="5"/>
  <c r="G2809" i="5"/>
  <c r="G2806" i="5"/>
  <c r="G2805" i="5"/>
  <c r="G2804" i="5"/>
  <c r="G2801" i="5"/>
  <c r="G2800" i="5"/>
  <c r="G2799" i="5"/>
  <c r="G2796" i="5"/>
  <c r="G2795" i="5"/>
  <c r="G2794" i="5"/>
  <c r="G2793" i="5"/>
  <c r="G2792" i="5"/>
  <c r="G2789" i="5"/>
  <c r="G2788" i="5"/>
  <c r="G2787" i="5"/>
  <c r="G2784" i="5"/>
  <c r="G2783" i="5"/>
  <c r="G2782" i="5"/>
  <c r="G2779" i="5"/>
  <c r="G2778" i="5"/>
  <c r="G2777" i="5"/>
  <c r="G2774" i="5"/>
  <c r="G2773" i="5"/>
  <c r="G2772" i="5"/>
  <c r="G2767" i="5"/>
  <c r="G2755" i="5"/>
  <c r="G2750" i="5"/>
  <c r="G2749" i="5"/>
  <c r="G2748" i="5"/>
  <c r="G2743" i="5"/>
  <c r="G2741" i="5"/>
  <c r="G2737" i="5"/>
  <c r="G2735" i="5"/>
  <c r="G2734" i="5"/>
  <c r="G2733" i="5"/>
  <c r="G2731" i="5"/>
  <c r="G2730" i="5"/>
  <c r="G2729" i="5"/>
  <c r="G2728" i="5"/>
  <c r="G2727" i="5"/>
  <c r="G2725" i="5"/>
  <c r="G2724" i="5"/>
  <c r="G2723" i="5"/>
  <c r="G2722" i="5"/>
  <c r="G2721" i="5"/>
  <c r="G2719" i="5"/>
  <c r="G2718" i="5"/>
  <c r="G2717" i="5"/>
  <c r="G2716" i="5"/>
  <c r="G2715" i="5"/>
  <c r="G2713" i="5"/>
  <c r="G2712" i="5"/>
  <c r="G2711" i="5"/>
  <c r="G2710" i="5"/>
  <c r="G2709" i="5"/>
  <c r="G2707" i="5"/>
  <c r="G2706" i="5"/>
  <c r="G2705" i="5"/>
  <c r="G2704" i="5"/>
  <c r="G2703" i="5"/>
  <c r="G2701" i="5"/>
  <c r="G2700" i="5"/>
  <c r="G2699" i="5"/>
  <c r="G2698" i="5"/>
  <c r="G2697" i="5"/>
  <c r="G2695" i="5"/>
  <c r="G2694" i="5"/>
  <c r="G2693" i="5"/>
  <c r="G2692" i="5"/>
  <c r="G2691" i="5"/>
  <c r="G2689" i="5"/>
  <c r="G2688" i="5"/>
  <c r="G2687" i="5"/>
  <c r="G2686" i="5"/>
  <c r="G2685" i="5"/>
  <c r="G2683" i="5"/>
  <c r="G2682" i="5"/>
  <c r="G2681" i="5"/>
  <c r="G2680" i="5"/>
  <c r="G2679" i="5"/>
  <c r="G2677" i="5"/>
  <c r="G2676" i="5"/>
  <c r="G2671" i="5"/>
  <c r="G2669" i="5"/>
  <c r="G2668" i="5"/>
  <c r="G2663" i="5"/>
  <c r="G2661" i="5"/>
  <c r="G2660" i="5"/>
  <c r="G2659" i="5"/>
  <c r="G2657" i="5"/>
  <c r="G2656" i="5"/>
  <c r="G2655" i="5"/>
  <c r="G2653" i="5"/>
  <c r="G2652" i="5"/>
  <c r="G2651" i="5"/>
  <c r="G2649" i="5"/>
  <c r="G2648" i="5"/>
  <c r="G2647" i="5"/>
  <c r="G2645" i="5"/>
  <c r="G2644" i="5"/>
  <c r="G2643" i="5"/>
  <c r="G2641" i="5"/>
  <c r="G2640" i="5"/>
  <c r="G2639" i="5"/>
  <c r="G2637" i="5"/>
  <c r="G2636" i="5"/>
  <c r="G2635" i="5"/>
  <c r="G2633" i="5"/>
  <c r="G2632" i="5"/>
  <c r="G2631" i="5"/>
  <c r="G2629" i="5"/>
  <c r="G2628" i="5"/>
  <c r="G2627" i="5"/>
  <c r="G2625" i="5"/>
  <c r="G2624" i="5"/>
  <c r="G2623" i="5"/>
  <c r="G2621" i="5"/>
  <c r="G2620" i="5"/>
  <c r="G2619" i="5"/>
  <c r="G2618" i="5"/>
  <c r="G2617" i="5"/>
  <c r="G2613" i="5"/>
  <c r="G2612" i="5"/>
  <c r="G2611" i="5"/>
  <c r="G2610" i="5"/>
  <c r="G2609" i="5"/>
  <c r="G2605" i="5"/>
  <c r="G2604" i="5"/>
  <c r="G2603" i="5"/>
  <c r="G2602" i="5"/>
  <c r="G2601" i="5"/>
  <c r="G2597" i="5"/>
  <c r="G2596" i="5"/>
  <c r="G2595" i="5"/>
  <c r="G2593" i="5"/>
  <c r="G2592" i="5"/>
  <c r="G2591" i="5"/>
  <c r="G2589" i="5"/>
  <c r="G2588" i="5"/>
  <c r="G2587" i="5"/>
  <c r="G2585" i="5"/>
  <c r="G2584" i="5"/>
  <c r="G2583" i="5"/>
  <c r="G2581" i="5"/>
  <c r="G2580" i="5"/>
  <c r="G2579" i="5"/>
  <c r="G2577" i="5"/>
  <c r="G2576" i="5"/>
  <c r="G2459" i="5"/>
  <c r="G2457" i="5"/>
  <c r="G2456" i="5"/>
  <c r="G2431" i="5"/>
  <c r="G2429" i="5"/>
  <c r="G2428" i="5"/>
  <c r="G2415" i="5"/>
  <c r="G2411" i="5"/>
  <c r="G2410" i="5"/>
  <c r="G2409" i="5"/>
  <c r="G2404" i="5"/>
  <c r="G2402" i="5"/>
  <c r="G2398" i="5"/>
  <c r="G2396" i="5"/>
  <c r="G2391" i="5"/>
  <c r="G2389" i="5"/>
  <c r="G2383" i="5"/>
  <c r="G2382" i="5"/>
  <c r="G2381" i="5"/>
  <c r="G2377" i="5"/>
  <c r="G2375" i="5"/>
  <c r="G2372" i="5"/>
  <c r="G2371" i="5"/>
  <c r="G2370" i="5"/>
  <c r="G2367" i="5"/>
  <c r="G2366" i="5"/>
  <c r="G2365" i="5"/>
  <c r="G2362" i="5"/>
  <c r="G2361" i="5"/>
  <c r="G2360" i="5"/>
  <c r="G2356" i="5"/>
  <c r="G2354" i="5"/>
  <c r="G2350" i="5"/>
  <c r="G2348" i="5"/>
  <c r="G2344" i="5"/>
  <c r="G2342" i="5"/>
  <c r="G2338" i="5"/>
  <c r="G2337" i="5"/>
  <c r="G2336" i="5"/>
  <c r="G2331" i="5"/>
  <c r="G2330" i="5"/>
  <c r="G2329" i="5"/>
  <c r="G2324" i="5"/>
  <c r="G2322" i="5"/>
  <c r="G2312" i="5"/>
  <c r="G2310" i="5"/>
  <c r="G2300" i="5"/>
  <c r="G2298" i="5"/>
  <c r="G2288" i="5"/>
  <c r="G2287" i="5"/>
  <c r="G2286" i="5"/>
  <c r="G2276" i="5"/>
  <c r="G2275" i="5"/>
  <c r="G2274" i="5"/>
  <c r="G2264" i="5"/>
  <c r="G2262" i="5"/>
  <c r="G2258" i="5"/>
  <c r="G2257" i="5"/>
  <c r="G2256" i="5"/>
  <c r="G2242" i="5"/>
  <c r="G2240" i="5"/>
  <c r="G2236" i="5"/>
  <c r="G2235" i="5"/>
  <c r="G2234" i="5"/>
  <c r="G2230" i="5"/>
  <c r="G2229" i="5"/>
  <c r="G2228" i="5"/>
  <c r="G2224" i="5"/>
  <c r="G2223" i="5"/>
  <c r="G2222" i="5"/>
  <c r="G2217" i="5"/>
  <c r="G2216" i="5"/>
  <c r="G2215" i="5"/>
  <c r="G2212" i="5"/>
  <c r="G2211" i="5"/>
  <c r="G2210" i="5"/>
  <c r="G2209" i="5"/>
  <c r="G2208" i="5"/>
  <c r="G2204" i="5"/>
  <c r="G2202" i="5"/>
  <c r="G2201" i="5"/>
  <c r="G2200" i="5"/>
  <c r="G2196" i="5"/>
  <c r="G2194" i="5"/>
  <c r="G2193" i="5"/>
  <c r="G2192" i="5"/>
  <c r="G2188" i="5"/>
  <c r="G2187" i="5"/>
  <c r="G2186" i="5"/>
  <c r="G2185" i="5"/>
  <c r="G2184" i="5"/>
  <c r="G2180" i="5"/>
  <c r="G2179" i="5"/>
  <c r="G2178" i="5"/>
  <c r="G2177" i="5"/>
  <c r="G2176" i="5"/>
  <c r="G2172" i="5"/>
  <c r="G2170" i="5"/>
  <c r="G2169" i="5"/>
  <c r="G2168" i="5"/>
  <c r="G2164" i="5"/>
  <c r="G2162" i="5"/>
  <c r="G2161" i="5"/>
  <c r="G2160" i="5"/>
  <c r="G2156" i="5"/>
  <c r="G2154" i="5"/>
  <c r="G2153" i="5"/>
  <c r="G2152" i="5"/>
  <c r="G2148" i="5"/>
  <c r="G2146" i="5"/>
  <c r="G2142" i="5"/>
  <c r="G2118" i="5"/>
  <c r="G2117" i="5"/>
  <c r="G2116" i="5"/>
  <c r="G2115" i="5"/>
  <c r="G2114" i="5"/>
  <c r="G2110" i="5"/>
  <c r="G2109" i="5"/>
  <c r="G2108" i="5"/>
  <c r="G2107" i="5"/>
  <c r="G2106" i="5"/>
  <c r="G2102" i="5"/>
  <c r="G2101" i="5"/>
  <c r="G2100" i="5"/>
  <c r="G2099" i="5"/>
  <c r="G2098" i="5"/>
  <c r="G2094" i="5"/>
  <c r="G2092" i="5"/>
  <c r="G2091" i="5"/>
  <c r="G2090" i="5"/>
  <c r="G2086" i="5"/>
  <c r="G2084" i="5"/>
  <c r="G2083" i="5"/>
  <c r="G2082" i="5"/>
  <c r="G2078" i="5"/>
  <c r="G2077" i="5"/>
  <c r="G2076" i="5"/>
  <c r="G2075" i="5"/>
  <c r="G2074" i="5"/>
  <c r="G2070" i="5"/>
  <c r="G2068" i="5"/>
  <c r="G2067" i="5"/>
  <c r="G2066" i="5"/>
  <c r="G2062" i="5"/>
  <c r="G2061" i="5"/>
  <c r="G2060" i="5"/>
  <c r="G2059" i="5"/>
  <c r="G2058" i="5"/>
  <c r="G2054" i="5"/>
  <c r="G2053" i="5"/>
  <c r="G2052" i="5"/>
  <c r="G2051" i="5"/>
  <c r="G2050" i="5"/>
  <c r="G2046" i="5"/>
  <c r="G2044" i="5"/>
  <c r="G2043" i="5"/>
  <c r="G2042" i="5"/>
  <c r="G2038" i="5"/>
  <c r="G2036" i="5"/>
  <c r="G2035" i="5"/>
  <c r="G2034" i="5"/>
  <c r="G2030" i="5"/>
  <c r="G2028" i="5"/>
  <c r="G2024" i="5"/>
  <c r="G2023" i="5"/>
  <c r="G2022" i="5"/>
  <c r="G2017" i="5"/>
  <c r="G2015" i="5"/>
  <c r="G2010" i="5"/>
  <c r="G2008" i="5"/>
  <c r="G2003" i="5"/>
  <c r="G2002" i="5"/>
  <c r="G2001" i="5"/>
  <c r="G1996" i="5"/>
  <c r="G1994" i="5"/>
  <c r="G1988" i="5"/>
  <c r="G1986" i="5"/>
  <c r="G1980" i="5"/>
  <c r="G1978" i="5"/>
  <c r="G1973" i="5"/>
  <c r="G1972" i="5"/>
  <c r="G1971" i="5"/>
  <c r="G1966" i="5"/>
  <c r="G1964" i="5"/>
  <c r="G1960" i="5"/>
  <c r="G1959" i="5"/>
  <c r="G1958" i="5"/>
  <c r="G1954" i="5"/>
  <c r="G1953" i="5"/>
  <c r="G1952" i="5"/>
  <c r="G1949" i="5"/>
  <c r="G1948" i="5"/>
  <c r="G1947" i="5"/>
  <c r="G1944" i="5"/>
  <c r="G1943" i="5"/>
  <c r="G1942" i="5"/>
  <c r="G1939" i="5"/>
  <c r="G1938" i="5"/>
  <c r="G1937" i="5"/>
  <c r="G1933" i="5"/>
  <c r="G1932" i="5"/>
  <c r="G1931" i="5"/>
  <c r="G1928" i="5"/>
  <c r="G1927" i="5"/>
  <c r="G1926" i="5"/>
  <c r="G1923" i="5"/>
  <c r="G1922" i="5"/>
  <c r="G1921" i="5"/>
  <c r="G1918" i="5"/>
  <c r="G1917" i="5"/>
  <c r="G1916" i="5"/>
  <c r="G1912" i="5"/>
  <c r="G1911" i="5"/>
  <c r="G1910" i="5"/>
  <c r="G1906" i="5"/>
  <c r="G1905" i="5"/>
  <c r="G1904" i="5"/>
  <c r="G1900" i="5"/>
  <c r="G1899" i="5"/>
  <c r="G1898" i="5"/>
  <c r="G1894" i="5"/>
  <c r="G1893" i="5"/>
  <c r="G1892" i="5"/>
  <c r="G1888" i="5"/>
  <c r="G1887" i="5"/>
  <c r="G1886" i="5"/>
  <c r="G1882" i="5"/>
  <c r="G1881" i="5"/>
  <c r="G1880" i="5"/>
  <c r="G1876" i="5"/>
  <c r="G1875" i="5"/>
  <c r="G1874" i="5"/>
  <c r="G1870" i="5"/>
  <c r="G1869" i="5"/>
  <c r="G1868" i="5"/>
  <c r="G1864" i="5"/>
  <c r="G1863" i="5"/>
  <c r="G1862" i="5"/>
  <c r="G1858" i="5"/>
  <c r="G1857" i="5"/>
  <c r="G1856" i="5"/>
  <c r="G1852" i="5"/>
  <c r="G1851" i="5"/>
  <c r="G1850" i="5"/>
  <c r="G1846" i="5"/>
  <c r="G1845" i="5"/>
  <c r="G1844" i="5"/>
  <c r="G1839" i="5"/>
  <c r="G1838" i="5"/>
  <c r="G1837" i="5"/>
  <c r="G1833" i="5"/>
  <c r="G1832" i="5"/>
  <c r="G1831" i="5"/>
  <c r="G1827" i="5"/>
  <c r="G1826" i="5"/>
  <c r="G1825" i="5"/>
  <c r="G1822" i="5"/>
  <c r="G1821" i="5"/>
  <c r="G1820" i="5"/>
  <c r="G1817" i="5"/>
  <c r="G1816" i="5"/>
  <c r="G1815" i="5"/>
  <c r="G1810" i="5"/>
  <c r="G1809" i="5"/>
  <c r="G1808" i="5"/>
  <c r="G1803" i="5"/>
  <c r="G1801" i="5"/>
  <c r="G1796" i="5"/>
  <c r="G1794" i="5"/>
  <c r="G1789" i="5"/>
  <c r="G1788" i="5"/>
  <c r="G1787" i="5"/>
  <c r="G1782" i="5"/>
  <c r="G1781" i="5"/>
  <c r="G1780" i="5"/>
  <c r="G1775" i="5"/>
  <c r="G1773" i="5"/>
  <c r="G1768" i="5"/>
  <c r="G1767" i="5"/>
  <c r="G1766" i="5"/>
  <c r="G1761" i="5"/>
  <c r="G1759" i="5"/>
  <c r="G1750" i="5"/>
  <c r="G1748" i="5"/>
  <c r="G1739" i="5"/>
  <c r="G1737" i="5"/>
  <c r="G1728" i="5"/>
  <c r="G1726" i="5"/>
  <c r="G1717" i="5"/>
  <c r="G1715" i="5"/>
  <c r="G1709" i="5"/>
  <c r="G1707" i="5"/>
  <c r="G1703" i="5"/>
  <c r="G1702" i="5"/>
  <c r="G1701" i="5"/>
  <c r="G1696" i="5"/>
  <c r="G1695" i="5"/>
  <c r="G1694" i="5"/>
  <c r="G1689" i="5"/>
  <c r="G1688" i="5"/>
  <c r="G1687" i="5"/>
  <c r="G1683" i="5"/>
  <c r="G1682" i="5"/>
  <c r="G1681" i="5"/>
  <c r="G1678" i="5"/>
  <c r="G1677" i="5"/>
  <c r="G1676" i="5"/>
  <c r="G1673" i="5"/>
  <c r="G1672" i="5"/>
  <c r="G1671" i="5"/>
  <c r="G1668" i="5"/>
  <c r="G1667" i="5"/>
  <c r="G1666" i="5"/>
  <c r="G1662" i="5"/>
  <c r="G1661" i="5"/>
  <c r="G1660" i="5"/>
  <c r="G1656" i="5"/>
  <c r="G1654" i="5"/>
  <c r="G1650" i="5"/>
  <c r="G1648" i="5"/>
  <c r="G1644" i="5"/>
  <c r="G1643" i="5"/>
  <c r="G1642" i="5"/>
  <c r="G1639" i="5"/>
  <c r="G1638" i="5"/>
  <c r="G1637" i="5"/>
  <c r="G1633" i="5"/>
  <c r="G1632" i="5"/>
  <c r="G1631" i="5"/>
  <c r="G1627" i="5"/>
  <c r="G1625" i="5"/>
  <c r="G1622" i="5"/>
  <c r="G1621" i="5"/>
  <c r="G1620" i="5"/>
  <c r="G1615" i="5"/>
  <c r="G1614" i="5"/>
  <c r="G1613" i="5"/>
  <c r="G1609" i="5"/>
  <c r="G1608" i="5"/>
  <c r="G1607" i="5"/>
  <c r="G1603" i="5"/>
  <c r="G1601" i="5"/>
  <c r="G1597" i="5"/>
  <c r="G1595" i="5"/>
  <c r="G1582" i="5"/>
  <c r="G1581" i="5"/>
  <c r="G1580" i="5"/>
  <c r="G1575" i="5"/>
  <c r="G1573" i="5"/>
  <c r="G1568" i="5"/>
  <c r="G1566" i="5"/>
  <c r="G1561" i="5"/>
  <c r="G1559" i="5"/>
  <c r="G1554" i="5"/>
  <c r="G1552" i="5"/>
  <c r="G1546" i="5"/>
  <c r="G1544" i="5"/>
  <c r="G1538" i="5"/>
  <c r="G1536" i="5"/>
  <c r="G1530" i="5"/>
  <c r="G1528" i="5"/>
  <c r="G1522" i="5"/>
  <c r="G1520" i="5"/>
  <c r="G1514" i="5"/>
  <c r="G1512" i="5"/>
  <c r="G1499" i="5"/>
  <c r="G1498" i="5"/>
  <c r="G1497" i="5"/>
  <c r="G1484" i="5"/>
  <c r="G1483" i="5"/>
  <c r="G1482" i="5"/>
  <c r="G1469" i="5"/>
  <c r="G1468" i="5"/>
  <c r="G1467" i="5"/>
  <c r="G1454" i="5"/>
  <c r="G1453" i="5"/>
  <c r="G1452" i="5"/>
  <c r="G1439" i="5"/>
  <c r="G1438" i="5"/>
  <c r="G1437" i="5"/>
  <c r="G1424" i="5"/>
  <c r="G1423" i="5"/>
  <c r="G1422" i="5"/>
  <c r="G1409" i="5"/>
  <c r="G1408" i="5"/>
  <c r="G1407" i="5"/>
  <c r="G1402" i="5"/>
  <c r="G1400" i="5"/>
  <c r="G1396" i="5"/>
  <c r="G1395" i="5"/>
  <c r="G1394" i="5"/>
  <c r="G1390" i="5"/>
  <c r="G1388" i="5"/>
  <c r="G1384" i="5"/>
  <c r="G1382" i="5"/>
  <c r="G1378" i="5"/>
  <c r="G1377" i="5"/>
  <c r="G1376" i="5"/>
  <c r="G1372" i="5"/>
  <c r="G1370" i="5"/>
  <c r="G1366" i="5"/>
  <c r="G1364" i="5"/>
  <c r="G1359" i="5"/>
  <c r="G1358" i="5"/>
  <c r="G1357" i="5"/>
  <c r="G1353" i="5"/>
  <c r="G1351" i="5"/>
  <c r="G1346" i="5"/>
  <c r="G1345" i="5"/>
  <c r="G1344" i="5"/>
  <c r="G1340" i="5"/>
  <c r="G1338" i="5"/>
  <c r="G1334" i="5"/>
  <c r="G1332" i="5"/>
  <c r="G1328" i="5"/>
  <c r="G1327" i="5"/>
  <c r="G1326" i="5"/>
  <c r="G1323" i="5"/>
  <c r="G1321" i="5"/>
  <c r="G1314" i="5"/>
  <c r="G1313" i="5"/>
  <c r="G1312" i="5"/>
  <c r="G1306" i="5"/>
  <c r="G1304" i="5"/>
  <c r="G1299" i="5"/>
  <c r="G1298" i="5"/>
  <c r="G1297" i="5"/>
  <c r="G1292" i="5"/>
  <c r="G1291" i="5"/>
  <c r="G1290" i="5"/>
  <c r="G1285" i="5"/>
  <c r="G1284" i="5"/>
  <c r="G1283" i="5"/>
  <c r="G1278" i="5"/>
  <c r="G1277" i="5"/>
  <c r="G1276" i="5"/>
  <c r="G1272" i="5"/>
  <c r="G1271" i="5"/>
  <c r="G1270" i="5"/>
  <c r="G1265" i="5"/>
  <c r="G1264" i="5"/>
  <c r="G1263" i="5"/>
  <c r="G1258" i="5"/>
  <c r="G1256" i="5"/>
  <c r="G1251" i="5"/>
  <c r="G1249" i="5"/>
  <c r="G1244" i="5"/>
  <c r="G1242" i="5"/>
  <c r="G1237" i="5"/>
  <c r="G1235" i="5"/>
  <c r="G1230" i="5"/>
  <c r="G1228" i="5"/>
  <c r="G1223" i="5"/>
  <c r="G1221" i="5"/>
  <c r="G1216" i="5"/>
  <c r="G1215" i="5"/>
  <c r="G1214" i="5"/>
  <c r="G1209" i="5"/>
  <c r="G1207" i="5"/>
  <c r="G1202" i="5"/>
  <c r="G1201" i="5"/>
  <c r="G1200" i="5"/>
  <c r="G1195" i="5"/>
  <c r="G1193" i="5"/>
  <c r="G1188" i="5"/>
  <c r="G1186" i="5"/>
  <c r="G1181" i="5"/>
  <c r="G1179" i="5"/>
  <c r="G1174" i="5"/>
  <c r="G1172" i="5"/>
  <c r="G1167" i="5"/>
  <c r="G1165" i="5"/>
  <c r="G1160" i="5"/>
  <c r="G1158" i="5"/>
  <c r="G1153" i="5"/>
  <c r="G1152" i="5"/>
  <c r="G1151" i="5"/>
  <c r="G1146" i="5"/>
  <c r="G1144" i="5"/>
  <c r="G1139" i="5"/>
  <c r="G1137" i="5"/>
  <c r="G1134" i="5"/>
  <c r="G1133" i="5"/>
  <c r="G1132" i="5"/>
  <c r="G1128" i="5"/>
  <c r="G1127" i="5"/>
  <c r="G1126" i="5"/>
  <c r="G1123" i="5"/>
  <c r="G1122" i="5"/>
  <c r="G1121" i="5"/>
  <c r="G1118" i="5"/>
  <c r="G1117" i="5"/>
  <c r="G1116" i="5"/>
  <c r="G1110" i="5"/>
  <c r="G1108" i="5"/>
  <c r="G1107" i="5"/>
  <c r="G1106" i="5"/>
  <c r="G1100" i="5"/>
  <c r="G1098" i="5"/>
  <c r="G1092" i="5"/>
  <c r="G1091" i="5"/>
  <c r="G1090" i="5"/>
  <c r="G1084" i="5"/>
  <c r="G1082" i="5"/>
  <c r="G1081" i="5"/>
  <c r="G1080" i="5"/>
  <c r="G1075" i="5"/>
  <c r="G1074" i="5"/>
  <c r="G1073" i="5"/>
  <c r="G1068" i="5"/>
  <c r="G1066" i="5"/>
  <c r="G1061" i="5"/>
  <c r="G1060" i="5"/>
  <c r="G1059" i="5"/>
  <c r="G1054" i="5"/>
  <c r="G1053" i="5"/>
  <c r="G1052" i="5"/>
  <c r="G1047" i="5"/>
  <c r="G1045" i="5"/>
  <c r="G1038" i="5"/>
  <c r="G1036" i="5"/>
  <c r="G1028" i="5"/>
  <c r="G1026" i="5"/>
  <c r="G1023" i="5"/>
  <c r="G1022" i="5"/>
  <c r="G1021" i="5"/>
  <c r="G1014" i="5"/>
  <c r="G1013" i="5"/>
  <c r="G1012" i="5"/>
  <c r="G1009" i="5"/>
  <c r="G1008" i="5"/>
  <c r="G1007" i="5"/>
  <c r="G1004" i="5"/>
  <c r="G1003" i="5"/>
  <c r="G1002" i="5"/>
  <c r="G993" i="5"/>
  <c r="G992" i="5"/>
  <c r="G991" i="5"/>
  <c r="G982" i="5"/>
  <c r="G981" i="5"/>
  <c r="G980" i="5"/>
  <c r="G975" i="5"/>
  <c r="G974" i="5"/>
  <c r="G973" i="5"/>
  <c r="G968" i="5"/>
  <c r="G967" i="5"/>
  <c r="G966" i="5"/>
  <c r="G961" i="5"/>
  <c r="G959" i="5"/>
  <c r="G955" i="5"/>
  <c r="G953" i="5"/>
  <c r="G949" i="5"/>
  <c r="G948" i="5"/>
  <c r="G947" i="5"/>
  <c r="G940" i="5"/>
  <c r="G938" i="5"/>
  <c r="G931" i="5"/>
  <c r="G929" i="5"/>
  <c r="G924" i="5"/>
  <c r="G923" i="5"/>
  <c r="G922" i="5"/>
  <c r="G915" i="5"/>
  <c r="G914" i="5"/>
  <c r="G913" i="5"/>
  <c r="G909" i="5"/>
  <c r="G908" i="5"/>
  <c r="G907" i="5"/>
  <c r="G905" i="5"/>
  <c r="G904" i="5"/>
  <c r="G903" i="5"/>
  <c r="G898" i="5"/>
  <c r="G897" i="5"/>
  <c r="G896" i="5"/>
  <c r="G893" i="5"/>
  <c r="G892" i="5"/>
  <c r="G891" i="5"/>
  <c r="G886" i="5"/>
  <c r="G885" i="5"/>
  <c r="G884" i="5"/>
  <c r="G879" i="5"/>
  <c r="G877" i="5"/>
  <c r="G876" i="5"/>
  <c r="G875" i="5"/>
  <c r="G871" i="5"/>
  <c r="G870" i="5"/>
  <c r="G869" i="5"/>
  <c r="G865" i="5"/>
  <c r="G863" i="5"/>
  <c r="G858" i="5"/>
  <c r="G856" i="5"/>
  <c r="G852" i="5"/>
  <c r="G851" i="5"/>
  <c r="G850" i="5"/>
  <c r="G847" i="5"/>
  <c r="G846" i="5"/>
  <c r="G845" i="5"/>
  <c r="G841" i="5"/>
  <c r="G840" i="5"/>
  <c r="G839" i="5"/>
  <c r="G834" i="5"/>
  <c r="G833" i="5"/>
  <c r="G832" i="5"/>
  <c r="G829" i="5"/>
  <c r="G828" i="5"/>
  <c r="G827" i="5"/>
  <c r="G825" i="5"/>
  <c r="G824" i="5"/>
  <c r="G823" i="5"/>
  <c r="G820" i="5"/>
  <c r="G819" i="5"/>
  <c r="G818" i="5"/>
  <c r="G816" i="5"/>
  <c r="G814" i="5"/>
  <c r="G806" i="5"/>
  <c r="G804" i="5"/>
  <c r="G792" i="5"/>
  <c r="G791" i="5"/>
  <c r="G790" i="5"/>
  <c r="G785" i="5"/>
  <c r="G784" i="5"/>
  <c r="G783" i="5"/>
  <c r="G774" i="5"/>
  <c r="G773" i="5"/>
  <c r="G772" i="5"/>
  <c r="G768" i="5"/>
  <c r="G766" i="5"/>
  <c r="G757" i="5"/>
  <c r="G755" i="5"/>
  <c r="G750" i="5"/>
  <c r="G749" i="5"/>
  <c r="G748" i="5"/>
  <c r="G746" i="5"/>
  <c r="G745" i="5"/>
  <c r="G744" i="5"/>
  <c r="G738" i="5"/>
  <c r="G736" i="5"/>
  <c r="G732" i="5"/>
  <c r="G731" i="5"/>
  <c r="G730" i="5"/>
  <c r="G725" i="5"/>
  <c r="G723" i="5"/>
  <c r="G716" i="5"/>
  <c r="G715" i="5"/>
  <c r="G714" i="5"/>
  <c r="G706" i="5"/>
  <c r="G704" i="5"/>
  <c r="G698" i="5"/>
  <c r="G697" i="5"/>
  <c r="G696" i="5"/>
  <c r="G690" i="5"/>
  <c r="G688" i="5"/>
  <c r="G680" i="5"/>
  <c r="G679" i="5"/>
  <c r="G678" i="5"/>
  <c r="G672" i="5"/>
  <c r="G671" i="5"/>
  <c r="G670" i="5"/>
  <c r="G668" i="5"/>
  <c r="G667" i="5"/>
  <c r="G666" i="5"/>
  <c r="G664" i="5"/>
  <c r="G662" i="5"/>
  <c r="G660" i="5"/>
  <c r="G659" i="5"/>
  <c r="G658" i="5"/>
  <c r="G656" i="5"/>
  <c r="G655" i="5"/>
  <c r="G654" i="5"/>
  <c r="G652" i="5"/>
  <c r="G651" i="5"/>
  <c r="G650" i="5"/>
  <c r="G648" i="5"/>
  <c r="G647" i="5"/>
  <c r="G646" i="5"/>
  <c r="G641" i="5"/>
  <c r="G639" i="5"/>
  <c r="G633" i="5"/>
  <c r="G632" i="5"/>
  <c r="G631" i="5"/>
  <c r="G625" i="5"/>
  <c r="G623" i="5"/>
  <c r="G619" i="5"/>
  <c r="G617" i="5"/>
  <c r="G616" i="5"/>
  <c r="G615" i="5"/>
  <c r="G610" i="5"/>
  <c r="G609" i="5"/>
  <c r="G608" i="5"/>
  <c r="G607" i="5"/>
  <c r="G606" i="5"/>
  <c r="G600" i="5"/>
  <c r="G599" i="5"/>
  <c r="G598" i="5"/>
  <c r="G592" i="5"/>
  <c r="G590" i="5"/>
  <c r="G589" i="5"/>
  <c r="G588" i="5"/>
  <c r="G583" i="5"/>
  <c r="G581" i="5"/>
  <c r="G580" i="5"/>
  <c r="G579" i="5"/>
  <c r="G573" i="5"/>
  <c r="G571" i="5"/>
  <c r="G565" i="5"/>
  <c r="G563" i="5"/>
  <c r="G557" i="5"/>
  <c r="G555" i="5"/>
  <c r="G549" i="5"/>
  <c r="G547" i="5"/>
  <c r="G541" i="5"/>
  <c r="G539" i="5"/>
  <c r="G535" i="5"/>
  <c r="G534" i="5"/>
  <c r="G533" i="5"/>
  <c r="G526" i="5"/>
  <c r="G525" i="5"/>
  <c r="G524" i="5"/>
  <c r="G517" i="5"/>
  <c r="G515" i="5"/>
  <c r="G511" i="5"/>
  <c r="G509" i="5"/>
  <c r="G504" i="5"/>
  <c r="G502" i="5"/>
  <c r="G497" i="5"/>
  <c r="G495" i="5"/>
  <c r="G494" i="5"/>
  <c r="G493" i="5"/>
  <c r="G492" i="5"/>
  <c r="G489" i="5"/>
  <c r="G487" i="5"/>
  <c r="G483" i="5"/>
  <c r="G482" i="5"/>
  <c r="G481" i="5"/>
  <c r="G480" i="5"/>
  <c r="G479" i="5"/>
  <c r="G478" i="5"/>
  <c r="G477" i="5"/>
  <c r="G471" i="5"/>
  <c r="G470" i="5"/>
  <c r="G469" i="5"/>
  <c r="G464" i="5"/>
  <c r="G462" i="5"/>
  <c r="G461" i="5"/>
  <c r="G460" i="5"/>
  <c r="G459" i="5"/>
  <c r="G454" i="5"/>
  <c r="G453" i="5"/>
  <c r="G452" i="5"/>
  <c r="G451" i="5"/>
  <c r="G450" i="5"/>
  <c r="G446" i="5"/>
  <c r="G445" i="5"/>
  <c r="G444" i="5"/>
  <c r="G440" i="5"/>
  <c r="G438" i="5"/>
  <c r="G434" i="5"/>
  <c r="G433" i="5"/>
  <c r="G432" i="5"/>
  <c r="G422" i="5"/>
  <c r="G420" i="5"/>
  <c r="G415" i="5"/>
  <c r="G413" i="5"/>
  <c r="G401" i="5"/>
  <c r="G399" i="5"/>
  <c r="G394" i="5"/>
  <c r="G392" i="5"/>
  <c r="G380" i="5"/>
  <c r="G378" i="5"/>
  <c r="G371" i="5"/>
  <c r="G369" i="5"/>
  <c r="G365" i="5"/>
  <c r="G363" i="5"/>
  <c r="G362" i="5"/>
  <c r="G361" i="5"/>
  <c r="G351" i="5"/>
  <c r="G350" i="5"/>
  <c r="G349" i="5"/>
  <c r="G341" i="5"/>
  <c r="G339" i="5"/>
  <c r="G326" i="5"/>
  <c r="G325" i="5"/>
  <c r="G324" i="5"/>
  <c r="G320" i="5"/>
  <c r="G319" i="5"/>
  <c r="G318" i="5"/>
  <c r="G317" i="5"/>
  <c r="G316" i="5"/>
  <c r="G305" i="5"/>
  <c r="G303" i="5"/>
  <c r="G302" i="5"/>
  <c r="G301" i="5"/>
  <c r="G290" i="5"/>
  <c r="G288" i="5"/>
  <c r="G283" i="5"/>
  <c r="G282" i="5"/>
  <c r="G281" i="5"/>
  <c r="G276" i="5"/>
  <c r="G275" i="5"/>
  <c r="G274" i="5"/>
  <c r="G268" i="5"/>
  <c r="G266" i="5"/>
  <c r="G263" i="5"/>
  <c r="G261" i="5"/>
  <c r="G248" i="5"/>
  <c r="G247" i="5"/>
  <c r="G246" i="5"/>
  <c r="G240" i="5"/>
  <c r="G239" i="5"/>
  <c r="G238" i="5"/>
  <c r="G236" i="5"/>
  <c r="G235" i="5"/>
  <c r="G234" i="5"/>
  <c r="G232" i="5"/>
  <c r="G231" i="5"/>
  <c r="G230" i="5"/>
  <c r="G228" i="5"/>
  <c r="G227" i="5"/>
  <c r="G226" i="5"/>
  <c r="G224" i="5"/>
  <c r="G223" i="5"/>
  <c r="G222" i="5"/>
  <c r="G219" i="5"/>
  <c r="G218" i="5"/>
  <c r="G217" i="5"/>
  <c r="G214" i="5"/>
  <c r="G213" i="5"/>
  <c r="G212" i="5"/>
  <c r="G210" i="5"/>
  <c r="G209" i="5"/>
  <c r="G208" i="5"/>
  <c r="G205" i="5"/>
  <c r="G204" i="5"/>
  <c r="G203" i="5"/>
  <c r="G201" i="5"/>
  <c r="G200" i="5"/>
  <c r="G199" i="5"/>
  <c r="G197" i="5"/>
  <c r="G196" i="5"/>
  <c r="G195" i="5"/>
  <c r="G190" i="5"/>
  <c r="G189" i="5"/>
  <c r="G188" i="5"/>
  <c r="G187" i="5"/>
  <c r="G186" i="5"/>
  <c r="G183" i="5"/>
  <c r="G182" i="5"/>
  <c r="G181" i="5"/>
  <c r="G179" i="5"/>
  <c r="G178" i="5"/>
  <c r="G177" i="5"/>
  <c r="G175" i="5"/>
  <c r="G174" i="5"/>
  <c r="G173" i="5"/>
  <c r="G171" i="5"/>
  <c r="G170" i="5"/>
  <c r="G169" i="5"/>
  <c r="G166" i="5"/>
  <c r="G165" i="5"/>
  <c r="G164" i="5"/>
  <c r="G161" i="5"/>
  <c r="G160" i="5"/>
  <c r="G159" i="5"/>
  <c r="G158" i="5"/>
  <c r="G157" i="5"/>
  <c r="G154" i="5"/>
  <c r="G152" i="5"/>
  <c r="G149" i="5"/>
  <c r="G148" i="5"/>
  <c r="G147" i="5"/>
  <c r="G144" i="5"/>
  <c r="G143" i="5"/>
  <c r="G142" i="5"/>
  <c r="G139" i="5"/>
  <c r="G138" i="5"/>
  <c r="G137" i="5"/>
  <c r="G135" i="5"/>
  <c r="G134" i="5"/>
  <c r="G133" i="5"/>
  <c r="G131" i="5"/>
  <c r="G130" i="5"/>
  <c r="G129" i="5"/>
  <c r="G126" i="5"/>
  <c r="G125" i="5"/>
  <c r="G124" i="5"/>
  <c r="G121" i="5"/>
  <c r="G120" i="5"/>
  <c r="G119" i="5"/>
  <c r="G117" i="5"/>
  <c r="G115" i="5"/>
  <c r="G112" i="5"/>
  <c r="G111" i="5"/>
  <c r="G110" i="5"/>
  <c r="G107" i="5"/>
  <c r="G106" i="5"/>
  <c r="G105" i="5"/>
  <c r="G103" i="5"/>
  <c r="G102" i="5"/>
  <c r="G101" i="5"/>
  <c r="G98" i="5"/>
  <c r="G97" i="5"/>
  <c r="G96" i="5"/>
  <c r="G93" i="5"/>
  <c r="G92" i="5"/>
  <c r="G91" i="5"/>
  <c r="G88" i="5"/>
  <c r="G87" i="5"/>
  <c r="G86" i="5"/>
  <c r="G83" i="5"/>
  <c r="G82" i="5"/>
  <c r="G81" i="5"/>
  <c r="G78" i="5"/>
  <c r="G77" i="5"/>
  <c r="G76" i="5"/>
  <c r="G70" i="5"/>
  <c r="G69" i="5"/>
  <c r="G68" i="5"/>
  <c r="G65" i="5"/>
  <c r="G63" i="5"/>
  <c r="G60" i="5"/>
  <c r="G59" i="5"/>
  <c r="G58" i="5"/>
  <c r="G53" i="5"/>
  <c r="G51" i="5"/>
  <c r="G48" i="5"/>
  <c r="G47" i="5"/>
  <c r="G46" i="5"/>
  <c r="G43" i="5"/>
  <c r="G42" i="5"/>
  <c r="G41" i="5"/>
  <c r="G38" i="5"/>
  <c r="G37" i="5"/>
  <c r="G36" i="5"/>
  <c r="G34" i="5"/>
  <c r="G33" i="5"/>
  <c r="G32" i="5"/>
  <c r="G29" i="5"/>
  <c r="G28" i="5"/>
  <c r="G27" i="5"/>
  <c r="G24" i="5"/>
  <c r="G22" i="5"/>
  <c r="G19" i="5"/>
  <c r="G18" i="5"/>
  <c r="G17" i="5"/>
  <c r="G15" i="5"/>
  <c r="G14" i="5"/>
  <c r="G13" i="5"/>
  <c r="G11" i="5"/>
  <c r="G10" i="5"/>
  <c r="G9" i="5"/>
  <c r="G7" i="5"/>
  <c r="A1" i="9"/>
  <c r="D4629" i="5"/>
  <c r="D4618" i="5"/>
  <c r="D4610" i="5"/>
  <c r="D4604" i="5"/>
  <c r="D4592" i="5"/>
  <c r="D4583" i="5"/>
  <c r="D4575" i="5"/>
  <c r="D4569" i="5"/>
  <c r="D4559" i="5"/>
  <c r="D4551" i="5"/>
  <c r="D4543" i="5"/>
  <c r="D4537" i="5"/>
  <c r="D4529" i="5"/>
  <c r="D4517" i="5"/>
  <c r="D4511" i="5"/>
  <c r="D4503" i="5"/>
  <c r="D4494" i="5"/>
  <c r="D4486" i="5"/>
  <c r="D4467" i="5"/>
  <c r="D4455" i="5"/>
  <c r="D4443" i="5"/>
  <c r="D4437" i="5"/>
  <c r="D4431" i="5"/>
  <c r="D4423" i="5"/>
  <c r="D4417" i="5"/>
  <c r="D4412" i="5"/>
  <c r="D4407" i="5"/>
  <c r="D4401" i="5"/>
  <c r="D4393" i="5"/>
  <c r="D4385" i="5"/>
  <c r="D4365" i="5"/>
  <c r="D4359" i="5"/>
  <c r="D4326" i="5"/>
  <c r="D4316" i="5"/>
  <c r="D4306" i="5"/>
  <c r="D4296" i="5"/>
  <c r="D4288" i="5"/>
  <c r="D4280" i="5"/>
  <c r="D4270" i="5"/>
  <c r="D4261" i="5"/>
  <c r="D4252" i="5"/>
  <c r="D4243" i="5"/>
  <c r="D4234" i="5"/>
  <c r="D4224" i="5"/>
  <c r="D4217" i="5"/>
  <c r="D4190" i="5"/>
  <c r="D4174" i="5"/>
  <c r="D4165" i="5"/>
  <c r="D4155" i="5"/>
  <c r="D4150" i="5"/>
  <c r="D4142" i="5"/>
  <c r="D4135" i="5"/>
  <c r="D4129" i="5"/>
  <c r="D4121" i="5"/>
  <c r="D4115" i="5"/>
  <c r="D4105" i="5"/>
  <c r="D4099" i="5"/>
  <c r="D4093" i="5"/>
  <c r="D4087" i="5"/>
  <c r="D4080" i="5"/>
  <c r="D4073" i="5"/>
  <c r="D4069" i="5"/>
  <c r="D4058" i="5"/>
  <c r="D4047" i="5"/>
  <c r="D4040" i="5"/>
  <c r="D4030" i="5"/>
  <c r="D4022" i="5"/>
  <c r="D4014" i="5"/>
  <c r="D4006" i="5"/>
  <c r="D3999" i="5"/>
  <c r="D3995" i="5"/>
  <c r="D3989" i="5"/>
  <c r="D3982" i="5"/>
  <c r="D3976" i="5"/>
  <c r="D3970" i="5"/>
  <c r="D3961" i="5"/>
  <c r="D3952" i="5"/>
  <c r="D3943" i="5"/>
  <c r="D3934" i="5"/>
  <c r="D3925" i="5"/>
  <c r="D3916" i="5"/>
  <c r="D3912" i="5"/>
  <c r="D3908" i="5"/>
  <c r="D3903" i="5"/>
  <c r="D3890" i="5"/>
  <c r="D3877" i="5"/>
  <c r="D3869" i="5"/>
  <c r="D3862" i="5"/>
  <c r="D3854" i="5"/>
  <c r="D3847" i="5"/>
  <c r="D3838" i="5"/>
  <c r="D3831" i="5"/>
  <c r="D3825" i="5"/>
  <c r="D3819" i="5"/>
  <c r="D3813" i="5"/>
  <c r="D3797" i="5"/>
  <c r="D3790" i="5"/>
  <c r="D3775" i="5"/>
  <c r="D3763" i="5"/>
  <c r="D3755" i="5"/>
  <c r="D3746" i="5"/>
  <c r="D3736" i="5"/>
  <c r="D3725" i="5"/>
  <c r="D3720" i="5"/>
  <c r="D3714" i="5"/>
  <c r="D3710" i="5"/>
  <c r="D3706" i="5"/>
  <c r="D3702" i="5"/>
  <c r="D3693" i="5"/>
  <c r="D3684" i="5"/>
  <c r="D3679" i="5"/>
  <c r="D3669" i="5"/>
  <c r="D3665" i="5"/>
  <c r="D3654" i="5"/>
  <c r="D3641" i="5"/>
  <c r="D3629" i="5"/>
  <c r="D3621" i="5"/>
  <c r="D3606" i="5"/>
  <c r="D3600" i="5"/>
  <c r="D3596" i="5"/>
  <c r="D3588" i="5"/>
  <c r="D3583" i="5"/>
  <c r="D3578" i="5"/>
  <c r="D3568" i="5"/>
  <c r="D3562" i="5"/>
  <c r="D3555" i="5"/>
  <c r="D3549" i="5"/>
  <c r="D3541" i="5"/>
  <c r="D3536" i="5"/>
  <c r="D3529" i="5"/>
  <c r="D3521" i="5"/>
  <c r="D3515" i="5"/>
  <c r="D3509" i="5"/>
  <c r="D3493" i="5"/>
  <c r="D3486" i="5"/>
  <c r="D3474" i="5"/>
  <c r="D3457" i="5"/>
  <c r="D3449" i="5"/>
  <c r="D3432" i="5"/>
  <c r="D3424" i="5"/>
  <c r="D3413" i="5"/>
  <c r="D3403" i="5"/>
  <c r="D3399" i="5"/>
  <c r="D3395" i="5"/>
  <c r="D3390" i="5"/>
  <c r="D3385" i="5"/>
  <c r="D3380" i="5"/>
  <c r="D3373" i="5"/>
  <c r="D3366" i="5"/>
  <c r="D3359" i="5"/>
  <c r="D3355" i="5"/>
  <c r="D3351" i="5"/>
  <c r="D3346" i="5"/>
  <c r="D3342" i="5"/>
  <c r="D3338" i="5"/>
  <c r="D3331" i="5"/>
  <c r="D3324" i="5"/>
  <c r="D3317" i="5"/>
  <c r="D3312" i="5"/>
  <c r="D3303" i="5"/>
  <c r="D3297" i="5"/>
  <c r="D3291" i="5"/>
  <c r="D3284" i="5"/>
  <c r="D3277" i="5"/>
  <c r="D3270" i="5"/>
  <c r="D3263" i="5"/>
  <c r="D3256" i="5"/>
  <c r="D3249" i="5"/>
  <c r="D3242" i="5"/>
  <c r="D3235" i="5"/>
  <c r="D3228" i="5"/>
  <c r="D3221" i="5"/>
  <c r="D3216" i="5"/>
  <c r="D3206" i="5"/>
  <c r="D3200" i="5"/>
  <c r="D3194" i="5"/>
  <c r="D3188" i="5"/>
  <c r="D3175" i="5"/>
  <c r="D3168" i="5"/>
  <c r="D3164" i="5"/>
  <c r="D3159" i="5"/>
  <c r="D3151" i="5"/>
  <c r="D3143" i="5"/>
  <c r="D3137" i="5"/>
  <c r="D3132" i="5"/>
  <c r="D3125" i="5"/>
  <c r="D3119" i="5"/>
  <c r="D3113" i="5"/>
  <c r="D3106" i="5"/>
  <c r="D3099" i="5"/>
  <c r="D3093" i="5"/>
  <c r="D3088" i="5"/>
  <c r="D3083" i="5"/>
  <c r="D3078" i="5"/>
  <c r="D3073" i="5"/>
  <c r="D3068" i="5"/>
  <c r="D3063" i="5"/>
  <c r="D3058" i="5"/>
  <c r="D3053" i="5"/>
  <c r="D3048" i="5"/>
  <c r="D3040" i="5"/>
  <c r="D3035" i="5"/>
  <c r="D3028" i="5"/>
  <c r="D3024" i="5"/>
  <c r="D3016" i="5"/>
  <c r="D3011" i="5"/>
  <c r="D3003" i="5"/>
  <c r="D2998" i="5"/>
  <c r="D2993" i="5"/>
  <c r="D2988" i="5"/>
  <c r="D2983" i="5"/>
  <c r="D2978" i="5"/>
  <c r="D2973" i="5"/>
  <c r="D2968" i="5"/>
  <c r="D2963" i="5"/>
  <c r="D2958" i="5"/>
  <c r="D2951" i="5"/>
  <c r="D2946" i="5"/>
  <c r="D2941" i="5"/>
  <c r="D2936" i="5"/>
  <c r="D2931" i="5"/>
  <c r="D2926" i="5"/>
  <c r="D2921" i="5"/>
  <c r="D2916" i="5"/>
  <c r="D2911" i="5"/>
  <c r="D2906" i="5"/>
  <c r="D2901" i="5"/>
  <c r="D2893" i="5"/>
  <c r="D2885" i="5"/>
  <c r="D2877" i="5"/>
  <c r="D2869" i="5"/>
  <c r="D2861" i="5"/>
  <c r="D2856" i="5"/>
  <c r="D2851" i="5"/>
  <c r="D2846" i="5"/>
  <c r="D2835" i="5"/>
  <c r="D2830" i="5"/>
  <c r="D2825" i="5"/>
  <c r="D2820" i="5"/>
  <c r="D2815" i="5"/>
  <c r="D2810" i="5"/>
  <c r="D2805" i="5"/>
  <c r="D2800" i="5"/>
  <c r="D2795" i="5"/>
  <c r="D2788" i="5"/>
  <c r="D2783" i="5"/>
  <c r="D2778" i="5"/>
  <c r="D2773" i="5"/>
  <c r="D2766" i="5"/>
  <c r="D2749" i="5"/>
  <c r="D2742" i="5"/>
  <c r="D2736" i="5"/>
  <c r="D2730" i="5"/>
  <c r="D2724" i="5"/>
  <c r="D2718" i="5"/>
  <c r="D2712" i="5"/>
  <c r="D2706" i="5"/>
  <c r="D2700" i="5"/>
  <c r="D2694" i="5"/>
  <c r="D2688" i="5"/>
  <c r="D2682" i="5"/>
  <c r="D2676" i="5"/>
  <c r="D2668" i="5"/>
  <c r="D2660" i="5"/>
  <c r="D2656" i="5"/>
  <c r="D2652" i="5"/>
  <c r="D2648" i="5"/>
  <c r="D2644" i="5"/>
  <c r="D2640" i="5"/>
  <c r="D2636" i="5"/>
  <c r="D2632" i="5"/>
  <c r="D2628" i="5"/>
  <c r="D2624" i="5"/>
  <c r="D2620" i="5"/>
  <c r="D2612" i="5"/>
  <c r="D2604" i="5"/>
  <c r="D2596" i="5"/>
  <c r="D2592" i="5"/>
  <c r="D2588" i="5"/>
  <c r="D2584" i="5"/>
  <c r="D2580" i="5"/>
  <c r="D2576" i="5"/>
  <c r="D2456" i="5"/>
  <c r="D2428" i="5"/>
  <c r="D2410" i="5"/>
  <c r="D2403" i="5"/>
  <c r="D2397" i="5"/>
  <c r="D2390" i="5"/>
  <c r="D2382" i="5"/>
  <c r="D2376" i="5"/>
  <c r="D2371" i="5"/>
  <c r="D2366" i="5"/>
  <c r="D2361" i="5"/>
  <c r="D2355" i="5"/>
  <c r="D2349" i="5"/>
  <c r="D2343" i="5"/>
  <c r="D2337" i="5"/>
  <c r="D2330" i="5"/>
  <c r="D2323" i="5"/>
  <c r="D2311" i="5"/>
  <c r="D2299" i="5"/>
  <c r="D2287" i="5"/>
  <c r="D2275" i="5"/>
  <c r="D2263" i="5"/>
  <c r="D2257" i="5"/>
  <c r="D2241" i="5"/>
  <c r="D2235" i="5"/>
  <c r="D2229" i="5"/>
  <c r="D2223" i="5"/>
  <c r="D2216" i="5"/>
  <c r="D2211" i="5"/>
  <c r="D2203" i="5"/>
  <c r="D2195" i="5"/>
  <c r="D2187" i="5"/>
  <c r="D2179" i="5"/>
  <c r="D2171" i="5"/>
  <c r="D2163" i="5"/>
  <c r="D2155" i="5"/>
  <c r="D2147" i="5"/>
  <c r="D2141" i="5"/>
  <c r="D2135" i="5"/>
  <c r="D2129" i="5"/>
  <c r="D2123" i="5"/>
  <c r="D2117" i="5"/>
  <c r="D2109" i="5"/>
  <c r="D2101" i="5"/>
  <c r="D2093" i="5"/>
  <c r="D2085" i="5"/>
  <c r="D2077" i="5"/>
  <c r="D2069" i="5"/>
  <c r="D2061" i="5"/>
  <c r="D2053" i="5"/>
  <c r="D2045" i="5"/>
  <c r="D2037" i="5"/>
  <c r="D2029" i="5"/>
  <c r="D2023" i="5"/>
  <c r="D2016" i="5"/>
  <c r="D2009" i="5"/>
  <c r="D2002" i="5"/>
  <c r="D1995" i="5"/>
  <c r="D1987" i="5"/>
  <c r="D1979" i="5"/>
  <c r="D1972" i="5"/>
  <c r="D1965" i="5"/>
  <c r="D1959" i="5"/>
  <c r="D1953" i="5"/>
  <c r="D1948" i="5"/>
  <c r="D1943" i="5"/>
  <c r="D1938" i="5"/>
  <c r="D1932" i="5"/>
  <c r="D1927" i="5"/>
  <c r="D1922" i="5"/>
  <c r="D1917" i="5"/>
  <c r="D1911" i="5"/>
  <c r="D1905" i="5"/>
  <c r="D1899" i="5"/>
  <c r="D1893" i="5"/>
  <c r="D1887" i="5"/>
  <c r="D1881" i="5"/>
  <c r="D1875" i="5"/>
  <c r="D1869" i="5"/>
  <c r="D1863" i="5"/>
  <c r="D1857" i="5"/>
  <c r="D1851" i="5"/>
  <c r="D1845" i="5"/>
  <c r="D1838" i="5"/>
  <c r="D1832" i="5"/>
  <c r="D1826" i="5"/>
  <c r="D1821" i="5"/>
  <c r="D1816" i="5"/>
  <c r="D1809" i="5"/>
  <c r="D1802" i="5"/>
  <c r="D1795" i="5"/>
  <c r="D1788" i="5"/>
  <c r="D1781" i="5"/>
  <c r="D1774" i="5"/>
  <c r="D1767" i="5"/>
  <c r="D1760" i="5"/>
  <c r="D1749" i="5"/>
  <c r="D1738" i="5"/>
  <c r="D1727" i="5"/>
  <c r="D1716" i="5"/>
  <c r="D1708" i="5"/>
  <c r="D1702" i="5"/>
  <c r="D1695" i="5"/>
  <c r="D1688" i="5"/>
  <c r="D1682" i="5"/>
  <c r="D1677" i="5"/>
  <c r="D1672" i="5"/>
  <c r="D1667" i="5"/>
  <c r="D1661" i="5"/>
  <c r="D1655" i="5"/>
  <c r="D1649" i="5"/>
  <c r="D1643" i="5"/>
  <c r="D1638" i="5"/>
  <c r="D1632" i="5"/>
  <c r="D1626" i="5"/>
  <c r="D1621" i="5"/>
  <c r="D1614" i="5"/>
  <c r="D1608" i="5"/>
  <c r="D1602" i="5"/>
  <c r="D1596" i="5"/>
  <c r="D1581" i="5"/>
  <c r="D1574" i="5"/>
  <c r="D1567" i="5"/>
  <c r="D1560" i="5"/>
  <c r="D1553" i="5"/>
  <c r="D1545" i="5"/>
  <c r="D1537" i="5"/>
  <c r="D1529" i="5"/>
  <c r="D1521" i="5"/>
  <c r="D1513" i="5"/>
  <c r="D1498" i="5"/>
  <c r="D1483" i="5"/>
  <c r="D1468" i="5"/>
  <c r="D1453" i="5"/>
  <c r="D1438" i="5"/>
  <c r="D1423" i="5"/>
  <c r="D1408" i="5"/>
  <c r="D1401" i="5"/>
  <c r="D1395" i="5"/>
  <c r="D1389" i="5"/>
  <c r="D1383" i="5"/>
  <c r="D1377" i="5"/>
  <c r="D1371" i="5"/>
  <c r="D1365" i="5"/>
  <c r="D1358" i="5"/>
  <c r="D1352" i="5"/>
  <c r="D1345" i="5"/>
  <c r="D1339" i="5"/>
  <c r="D1333" i="5"/>
  <c r="D1327" i="5"/>
  <c r="D1322" i="5"/>
  <c r="D1313" i="5"/>
  <c r="D1305" i="5"/>
  <c r="D1298" i="5"/>
  <c r="D1291" i="5"/>
  <c r="D1284" i="5"/>
  <c r="D1277" i="5"/>
  <c r="D1271" i="5"/>
  <c r="D1264" i="5"/>
  <c r="D1257" i="5"/>
  <c r="D1250" i="5"/>
  <c r="D1243" i="5"/>
  <c r="D1236" i="5"/>
  <c r="D1229" i="5"/>
  <c r="D1222" i="5"/>
  <c r="D1215" i="5"/>
  <c r="D1208" i="5"/>
  <c r="D1201" i="5"/>
  <c r="D1194" i="5"/>
  <c r="D1187" i="5"/>
  <c r="D1180" i="5"/>
  <c r="D1173" i="5"/>
  <c r="D1166" i="5"/>
  <c r="D1159" i="5"/>
  <c r="D1152" i="5"/>
  <c r="D1145" i="5"/>
  <c r="D1138" i="5"/>
  <c r="D1133" i="5"/>
  <c r="D1127" i="5"/>
  <c r="D1122" i="5"/>
  <c r="D1117" i="5"/>
  <c r="D1109" i="5"/>
  <c r="D1099" i="5"/>
  <c r="D1091" i="5"/>
  <c r="D1083" i="5"/>
  <c r="D1074" i="5"/>
  <c r="D1067" i="5"/>
  <c r="D1060" i="5"/>
  <c r="D1053" i="5"/>
  <c r="D1046" i="5"/>
  <c r="D1037" i="5"/>
  <c r="D1027" i="5"/>
  <c r="D1022" i="5"/>
  <c r="D1013" i="5"/>
  <c r="D1008" i="5"/>
  <c r="D1003" i="5"/>
  <c r="D992" i="5"/>
  <c r="D981" i="5"/>
  <c r="D974" i="5"/>
  <c r="D967" i="5"/>
  <c r="D960" i="5"/>
  <c r="D954" i="5"/>
  <c r="D948" i="5"/>
  <c r="D939" i="5"/>
  <c r="D930" i="5"/>
  <c r="D923" i="5"/>
  <c r="D914" i="5"/>
  <c r="D908" i="5"/>
  <c r="D904" i="5"/>
  <c r="D897" i="5"/>
  <c r="D892" i="5"/>
  <c r="D885" i="5"/>
  <c r="D878" i="5"/>
  <c r="D870" i="5"/>
  <c r="D864" i="5"/>
  <c r="D857" i="5"/>
  <c r="D851" i="5"/>
  <c r="D846" i="5"/>
  <c r="D840" i="5"/>
  <c r="D833" i="5"/>
  <c r="D828" i="5"/>
  <c r="D824" i="5"/>
  <c r="D819" i="5"/>
  <c r="D815" i="5"/>
  <c r="D805" i="5"/>
  <c r="D791" i="5"/>
  <c r="D784" i="5"/>
  <c r="D773" i="5"/>
  <c r="D767" i="5"/>
  <c r="D756" i="5"/>
  <c r="D749" i="5"/>
  <c r="D745" i="5"/>
  <c r="D737" i="5"/>
  <c r="D731" i="5"/>
  <c r="D724" i="5"/>
  <c r="D715" i="5"/>
  <c r="D705" i="5"/>
  <c r="D697" i="5"/>
  <c r="D689" i="5"/>
  <c r="D679" i="5"/>
  <c r="D671" i="5"/>
  <c r="D667" i="5"/>
  <c r="D663" i="5"/>
  <c r="D659" i="5"/>
  <c r="D655" i="5"/>
  <c r="D651" i="5"/>
  <c r="D647" i="5"/>
  <c r="D640" i="5"/>
  <c r="D632" i="5"/>
  <c r="D624" i="5"/>
  <c r="D618" i="5"/>
  <c r="D609" i="5"/>
  <c r="D599" i="5"/>
  <c r="D591" i="5"/>
  <c r="D582" i="5"/>
  <c r="D572" i="5"/>
  <c r="D564" i="5"/>
  <c r="D556" i="5"/>
  <c r="D548" i="5"/>
  <c r="D540" i="5"/>
  <c r="D534" i="5"/>
  <c r="D525" i="5"/>
  <c r="D516" i="5"/>
  <c r="D510" i="5"/>
  <c r="D503" i="5"/>
  <c r="D496" i="5"/>
  <c r="D488" i="5"/>
  <c r="D482" i="5"/>
  <c r="D470" i="5"/>
  <c r="D463" i="5"/>
  <c r="D453" i="5"/>
  <c r="D445" i="5"/>
  <c r="D439" i="5"/>
  <c r="D433" i="5"/>
  <c r="D421" i="5"/>
  <c r="D414" i="5"/>
  <c r="D400" i="5"/>
  <c r="D393" i="5"/>
  <c r="D379" i="5"/>
  <c r="D370" i="5"/>
  <c r="D364" i="5"/>
  <c r="D350" i="5"/>
  <c r="D340" i="5"/>
  <c r="D325" i="5"/>
  <c r="D319" i="5"/>
  <c r="D304" i="5"/>
  <c r="D289" i="5"/>
  <c r="D282" i="5"/>
  <c r="D275" i="5"/>
  <c r="D267" i="5"/>
  <c r="D262" i="5"/>
  <c r="D247" i="5"/>
  <c r="D239" i="5"/>
  <c r="D235" i="5"/>
  <c r="D231" i="5"/>
  <c r="D227" i="5"/>
  <c r="D223" i="5"/>
  <c r="D218" i="5"/>
  <c r="D213" i="5"/>
  <c r="D209" i="5"/>
  <c r="D204" i="5"/>
  <c r="D200" i="5"/>
  <c r="D196" i="5"/>
  <c r="D189" i="5"/>
  <c r="D182" i="5"/>
  <c r="D178" i="5"/>
  <c r="D174" i="5"/>
  <c r="D170" i="5"/>
  <c r="D165" i="5"/>
  <c r="D160" i="5"/>
  <c r="D153" i="5"/>
  <c r="D148" i="5"/>
  <c r="D143" i="5"/>
  <c r="D138" i="5"/>
  <c r="D134" i="5"/>
  <c r="D130" i="5"/>
  <c r="D125" i="5"/>
  <c r="D120" i="5"/>
  <c r="D116" i="5"/>
  <c r="D111" i="5"/>
  <c r="D106" i="5"/>
  <c r="D102" i="5"/>
  <c r="D97" i="5"/>
  <c r="D92" i="5"/>
  <c r="D87" i="5"/>
  <c r="D82" i="5"/>
  <c r="D77" i="5"/>
  <c r="D69" i="5"/>
  <c r="D64" i="5"/>
  <c r="D59" i="5"/>
  <c r="D52" i="5"/>
  <c r="D47" i="5"/>
  <c r="D42" i="5"/>
  <c r="D37" i="5"/>
  <c r="D33" i="5"/>
  <c r="D28" i="5"/>
  <c r="D23" i="5"/>
  <c r="D18" i="5"/>
  <c r="D14" i="5"/>
  <c r="D10" i="5"/>
  <c r="D6" i="5"/>
  <c r="A3" i="5"/>
  <c r="A1" i="5"/>
  <c r="E17" i="9"/>
  <c r="E3503" i="5"/>
  <c r="E3468" i="5"/>
  <c r="E476" i="5"/>
  <c r="B17" i="9"/>
  <c r="G1350" i="8"/>
  <c r="G1349" i="8"/>
  <c r="F98" i="6"/>
  <c r="F340" i="6"/>
  <c r="G1304" i="8"/>
  <c r="G1313" i="8"/>
  <c r="G1310" i="8"/>
  <c r="G1301" i="8"/>
  <c r="G1288" i="8"/>
  <c r="G1256" i="8"/>
  <c r="G1240" i="8"/>
  <c r="G1283" i="8"/>
  <c r="G1274" i="8"/>
  <c r="G1258" i="8"/>
  <c r="G1259" i="8"/>
  <c r="G1269" i="8"/>
  <c r="G1265" i="8"/>
  <c r="G1255" i="8"/>
  <c r="G9" i="8"/>
  <c r="G33" i="8"/>
  <c r="G35" i="8"/>
  <c r="G37" i="8"/>
  <c r="G63" i="8"/>
  <c r="G81" i="8"/>
  <c r="G83" i="8"/>
  <c r="G87" i="8"/>
  <c r="G103" i="8"/>
  <c r="G107" i="8"/>
  <c r="G129" i="8"/>
  <c r="G139" i="8"/>
  <c r="G145" i="8"/>
  <c r="G153" i="8"/>
  <c r="G155" i="8"/>
  <c r="G159" i="8"/>
  <c r="G181" i="8"/>
  <c r="G187" i="8"/>
  <c r="G195" i="8"/>
  <c r="G199" i="8"/>
  <c r="G201" i="8"/>
  <c r="G18" i="8"/>
  <c r="G28" i="8"/>
  <c r="G30" i="8"/>
  <c r="G36" i="8"/>
  <c r="G50" i="8"/>
  <c r="G56" i="8"/>
  <c r="G62" i="8"/>
  <c r="G76" i="8"/>
  <c r="G90" i="8"/>
  <c r="G100" i="8"/>
  <c r="G104" i="8"/>
  <c r="G108" i="8"/>
  <c r="G130" i="8"/>
  <c r="G140" i="8"/>
  <c r="G144" i="8"/>
  <c r="G146" i="8"/>
  <c r="G148" i="8"/>
  <c r="G168" i="8"/>
  <c r="G180" i="8"/>
  <c r="G186" i="8"/>
  <c r="G192" i="8"/>
  <c r="G204" i="8"/>
  <c r="G210" i="8"/>
  <c r="G216" i="8"/>
  <c r="G223" i="8"/>
  <c r="G255" i="8"/>
  <c r="G263" i="8"/>
  <c r="G271" i="8"/>
  <c r="G279" i="8"/>
  <c r="G299" i="8"/>
  <c r="G343" i="8"/>
  <c r="G347" i="8"/>
  <c r="G350" i="8"/>
  <c r="G366" i="8"/>
  <c r="G379" i="8"/>
  <c r="G403" i="8"/>
  <c r="G217" i="8"/>
  <c r="G224" i="8"/>
  <c r="G228" i="8"/>
  <c r="G268" i="8"/>
  <c r="G272" i="8"/>
  <c r="G276" i="8"/>
  <c r="G312" i="8"/>
  <c r="G340" i="8"/>
  <c r="G348" i="8"/>
  <c r="G356" i="8"/>
  <c r="G372" i="8"/>
  <c r="G417" i="8"/>
  <c r="G420" i="8"/>
  <c r="G433" i="8"/>
  <c r="G439" i="8"/>
  <c r="G447" i="8"/>
  <c r="G457" i="8"/>
  <c r="G473" i="8"/>
  <c r="G475" i="8"/>
  <c r="G481" i="8"/>
  <c r="G497" i="8"/>
  <c r="G499" i="8"/>
  <c r="G505" i="8"/>
  <c r="G519" i="8"/>
  <c r="G535" i="8"/>
  <c r="G539" i="8"/>
  <c r="G543" i="8"/>
  <c r="G549" i="8"/>
  <c r="G553" i="8"/>
  <c r="G229" i="8"/>
  <c r="G241" i="8"/>
  <c r="G257" i="8"/>
  <c r="G261" i="8"/>
  <c r="G265" i="8"/>
  <c r="G301" i="8"/>
  <c r="G325" i="8"/>
  <c r="G337" i="8"/>
  <c r="G354" i="8"/>
  <c r="G370" i="8"/>
  <c r="G391" i="8"/>
  <c r="G399" i="8"/>
  <c r="G426" i="8"/>
  <c r="G234" i="8"/>
  <c r="G238" i="8"/>
  <c r="G254" i="8"/>
  <c r="G266" i="8"/>
  <c r="G274" i="8"/>
  <c r="G322" i="8"/>
  <c r="G330" i="8"/>
  <c r="G334" i="8"/>
  <c r="G342" i="8"/>
  <c r="G352" i="8"/>
  <c r="G373" i="8"/>
  <c r="G405" i="8"/>
  <c r="G408" i="8"/>
  <c r="G413" i="8"/>
  <c r="G438" i="8"/>
  <c r="G440" i="8"/>
  <c r="G444" i="8"/>
  <c r="G460" i="8"/>
  <c r="G470" i="8"/>
  <c r="G476" i="8"/>
  <c r="G480" i="8"/>
  <c r="G484" i="8"/>
  <c r="G486" i="8"/>
  <c r="G508" i="8"/>
  <c r="G512" i="8"/>
  <c r="G516" i="8"/>
  <c r="G524" i="8"/>
  <c r="G526" i="8"/>
  <c r="G536" i="8"/>
  <c r="G546" i="8"/>
  <c r="G550" i="8"/>
  <c r="G556" i="8"/>
  <c r="G570" i="8"/>
  <c r="G578" i="8"/>
  <c r="G590" i="8"/>
  <c r="G606" i="8"/>
  <c r="G634" i="8"/>
  <c r="G638" i="8"/>
  <c r="G642" i="8"/>
  <c r="G653" i="8"/>
  <c r="G571" i="8"/>
  <c r="G607" i="8"/>
  <c r="G615" i="8"/>
  <c r="G623" i="8"/>
  <c r="G627" i="8"/>
  <c r="G635" i="8"/>
  <c r="G658" i="8"/>
  <c r="G668" i="8"/>
  <c r="G674" i="8"/>
  <c r="G676" i="8"/>
  <c r="G688" i="8"/>
  <c r="G692" i="8"/>
  <c r="G694" i="8"/>
  <c r="G706" i="8"/>
  <c r="G714" i="8"/>
  <c r="G720" i="8"/>
  <c r="G724" i="8"/>
  <c r="G728" i="8"/>
  <c r="G730" i="8"/>
  <c r="G748" i="8"/>
  <c r="G752" i="8"/>
  <c r="G756" i="8"/>
  <c r="G760" i="8"/>
  <c r="G764" i="8"/>
  <c r="G774" i="8"/>
  <c r="G786" i="8"/>
  <c r="G788" i="8"/>
  <c r="G792" i="8"/>
  <c r="G804" i="8"/>
  <c r="G806" i="8"/>
  <c r="G810" i="8"/>
  <c r="G822" i="8"/>
  <c r="G834" i="8"/>
  <c r="G838" i="8"/>
  <c r="G840" i="8"/>
  <c r="G842" i="8"/>
  <c r="G848" i="8"/>
  <c r="G866" i="8"/>
  <c r="G870" i="8"/>
  <c r="G874" i="8"/>
  <c r="G876" i="8"/>
  <c r="G880" i="8"/>
  <c r="G892" i="8"/>
  <c r="G902" i="8"/>
  <c r="G906" i="8"/>
  <c r="G912" i="8"/>
  <c r="G920" i="8"/>
  <c r="G924" i="8"/>
  <c r="G930" i="8"/>
  <c r="G938" i="8"/>
  <c r="G950" i="8"/>
  <c r="G952" i="8"/>
  <c r="G956" i="8"/>
  <c r="G962" i="8"/>
  <c r="G966" i="8"/>
  <c r="G984" i="8"/>
  <c r="G986" i="8"/>
  <c r="G988" i="8"/>
  <c r="G994" i="8"/>
  <c r="G998" i="8"/>
  <c r="G1008" i="8"/>
  <c r="G584" i="8"/>
  <c r="G592" i="8"/>
  <c r="G596" i="8"/>
  <c r="G624" i="8"/>
  <c r="G628" i="8"/>
  <c r="G632" i="8"/>
  <c r="G573" i="8"/>
  <c r="G589" i="8"/>
  <c r="G601" i="8"/>
  <c r="G609" i="8"/>
  <c r="G613" i="8"/>
  <c r="G617" i="8"/>
  <c r="G652" i="8"/>
  <c r="G659" i="8"/>
  <c r="G661" i="8"/>
  <c r="G663" i="8"/>
  <c r="G667" i="8"/>
  <c r="G677" i="8"/>
  <c r="G685" i="8"/>
  <c r="G687" i="8"/>
  <c r="G691" i="8"/>
  <c r="G699" i="8"/>
  <c r="G703" i="8"/>
  <c r="G707" i="8"/>
  <c r="G715" i="8"/>
  <c r="G725" i="8"/>
  <c r="G727" i="8"/>
  <c r="G731" i="8"/>
  <c r="G733" i="8"/>
  <c r="G735" i="8"/>
  <c r="G751" i="8"/>
  <c r="G755" i="8"/>
  <c r="G759" i="8"/>
  <c r="G761" i="8"/>
  <c r="G763" i="8"/>
  <c r="G773" i="8"/>
  <c r="G781" i="8"/>
  <c r="G787" i="8"/>
  <c r="G789" i="8"/>
  <c r="G797" i="8"/>
  <c r="G799" i="8"/>
  <c r="G805" i="8"/>
  <c r="G813" i="8"/>
  <c r="G823" i="8"/>
  <c r="G825" i="8"/>
  <c r="G827" i="8"/>
  <c r="G831" i="8"/>
  <c r="G835" i="8"/>
  <c r="G851" i="8"/>
  <c r="G853" i="8"/>
  <c r="G855" i="8"/>
  <c r="G859" i="8"/>
  <c r="G861" i="8"/>
  <c r="G871" i="8"/>
  <c r="G879" i="8"/>
  <c r="G883" i="8"/>
  <c r="G887" i="8"/>
  <c r="G895" i="8"/>
  <c r="G899" i="8"/>
  <c r="G901" i="8"/>
  <c r="G909" i="8"/>
  <c r="G917" i="8"/>
  <c r="G921" i="8"/>
  <c r="G923" i="8"/>
  <c r="G925" i="8"/>
  <c r="G929" i="8"/>
  <c r="G941" i="8"/>
  <c r="G945" i="8"/>
  <c r="G947" i="8"/>
  <c r="G949" i="8"/>
  <c r="G953" i="8"/>
  <c r="G961" i="8"/>
  <c r="G969" i="8"/>
  <c r="G971" i="8"/>
  <c r="G973" i="8"/>
  <c r="G981" i="8"/>
  <c r="G985" i="8"/>
  <c r="G987" i="8"/>
  <c r="G995" i="8"/>
  <c r="G1013" i="8"/>
  <c r="G1017" i="8"/>
  <c r="G1025" i="8"/>
  <c r="G1029" i="8"/>
  <c r="G1033" i="8"/>
  <c r="G1061" i="8"/>
  <c r="G1065" i="8"/>
  <c r="G1073" i="8"/>
  <c r="G1077" i="8"/>
  <c r="G1081" i="8"/>
  <c r="G1097" i="8"/>
  <c r="G1113" i="8"/>
  <c r="G1121" i="8"/>
  <c r="G1125" i="8"/>
  <c r="G1141" i="8"/>
  <c r="G1145" i="8"/>
  <c r="G1153" i="8"/>
  <c r="G1169" i="8"/>
  <c r="G1185" i="8"/>
  <c r="G1189" i="8"/>
  <c r="G1193" i="8"/>
  <c r="G1201" i="8"/>
  <c r="G1205" i="8"/>
  <c r="G1233" i="8"/>
  <c r="G1237" i="8"/>
  <c r="G1001" i="8"/>
  <c r="G1014" i="8"/>
  <c r="G1018" i="8"/>
  <c r="G1034" i="8"/>
  <c r="G1050" i="8"/>
  <c r="G1054" i="8"/>
  <c r="G1062" i="8"/>
  <c r="G1078" i="8"/>
  <c r="G1082" i="8"/>
  <c r="G1086" i="8"/>
  <c r="G1102" i="8"/>
  <c r="G1118" i="8"/>
  <c r="G1126" i="8"/>
  <c r="G1130" i="8"/>
  <c r="G1134" i="8"/>
  <c r="G1142" i="8"/>
  <c r="G1166" i="8"/>
  <c r="G1174" i="8"/>
  <c r="G1178" i="8"/>
  <c r="G1182" i="8"/>
  <c r="G1190" i="8"/>
  <c r="G1206" i="8"/>
  <c r="G1222" i="8"/>
  <c r="G1226" i="8"/>
  <c r="G1230" i="8"/>
  <c r="G1011" i="8"/>
  <c r="G1019" i="8"/>
  <c r="G1023" i="8"/>
  <c r="G1039" i="8"/>
  <c r="G1055" i="8"/>
  <c r="G1059" i="8"/>
  <c r="G1067" i="8"/>
  <c r="G1071" i="8"/>
  <c r="G1075" i="8"/>
  <c r="G1103" i="8"/>
  <c r="G1107" i="8"/>
  <c r="G1115" i="8"/>
  <c r="G1119" i="8"/>
  <c r="G1123" i="8"/>
  <c r="G1139" i="8"/>
  <c r="G1155" i="8"/>
  <c r="G1163" i="8"/>
  <c r="G1167" i="8"/>
  <c r="G1183" i="8"/>
  <c r="G1187" i="8"/>
  <c r="G1195" i="8"/>
  <c r="G1211" i="8"/>
  <c r="G1227" i="8"/>
  <c r="G1231" i="8"/>
  <c r="G1235" i="8"/>
  <c r="G1005" i="8"/>
  <c r="G1012" i="8"/>
  <c r="G1040" i="8"/>
  <c r="G1044" i="8"/>
  <c r="G1048" i="8"/>
  <c r="G1056" i="8"/>
  <c r="G1060" i="8"/>
  <c r="G1072" i="8"/>
  <c r="G1088" i="8"/>
  <c r="G1092" i="8"/>
  <c r="G1096" i="8"/>
  <c r="G1104" i="8"/>
  <c r="G1112" i="8"/>
  <c r="G1120" i="8"/>
  <c r="G1136" i="8"/>
  <c r="G1140" i="8"/>
  <c r="G1144" i="8"/>
  <c r="G1156" i="8"/>
  <c r="G1160" i="8"/>
  <c r="G1168" i="8"/>
  <c r="G1184" i="8"/>
  <c r="G1188" i="8"/>
  <c r="G1200" i="8"/>
  <c r="G1204" i="8"/>
  <c r="G1208" i="8"/>
  <c r="G1216" i="8"/>
  <c r="G1232" i="8"/>
  <c r="G6" i="8"/>
  <c r="F13" i="7"/>
  <c r="F418" i="6"/>
  <c r="F71" i="7"/>
  <c r="F52" i="7"/>
  <c r="G1305" i="8" l="1"/>
  <c r="G1320" i="8"/>
  <c r="G111" i="8"/>
  <c r="G1318" i="8"/>
  <c r="G98" i="8"/>
  <c r="G1317" i="8"/>
  <c r="G96" i="8"/>
  <c r="G1330" i="8"/>
  <c r="G1324" i="8"/>
  <c r="G1319" i="8"/>
  <c r="G99" i="8"/>
  <c r="G1316" i="8"/>
  <c r="G472" i="8"/>
  <c r="G51" i="8"/>
  <c r="G10" i="8"/>
  <c r="G78" i="8"/>
  <c r="G1323" i="8"/>
  <c r="G1333" i="8"/>
  <c r="G89" i="8"/>
  <c r="G332" i="8"/>
  <c r="G331" i="8"/>
  <c r="G1332" i="8"/>
  <c r="G1321" i="8"/>
  <c r="G1328" i="8"/>
  <c r="G1322" i="8"/>
  <c r="G1331" i="8"/>
  <c r="G1315" i="8"/>
  <c r="G20" i="8"/>
  <c r="G1329" i="8"/>
  <c r="G344" i="8"/>
  <c r="G1326" i="8"/>
  <c r="G1334" i="8"/>
  <c r="G1327" i="8"/>
  <c r="G1325" i="8"/>
  <c r="H4606" i="5"/>
  <c r="G1224" i="8"/>
  <c r="G1176" i="8"/>
  <c r="G1128" i="8"/>
  <c r="G1080" i="8"/>
  <c r="G1032" i="8"/>
  <c r="G1203" i="8"/>
  <c r="G1151" i="8"/>
  <c r="G1099" i="8"/>
  <c r="G1035" i="8"/>
  <c r="G1214" i="8"/>
  <c r="G1162" i="8"/>
  <c r="G1098" i="8"/>
  <c r="G1046" i="8"/>
  <c r="G1225" i="8"/>
  <c r="G1161" i="8"/>
  <c r="G1109" i="8"/>
  <c r="G1057" i="8"/>
  <c r="G993" i="8"/>
  <c r="G965" i="8"/>
  <c r="G939" i="8"/>
  <c r="G907" i="8"/>
  <c r="G877" i="8"/>
  <c r="G845" i="8"/>
  <c r="G809" i="8"/>
  <c r="G779" i="8"/>
  <c r="G749" i="8"/>
  <c r="G713" i="8"/>
  <c r="G681" i="8"/>
  <c r="G647" i="8"/>
  <c r="G649" i="8"/>
  <c r="G576" i="8"/>
  <c r="G980" i="8"/>
  <c r="G934" i="8"/>
  <c r="G898" i="8"/>
  <c r="G860" i="8"/>
  <c r="G820" i="8"/>
  <c r="G784" i="8"/>
  <c r="G746" i="8"/>
  <c r="G700" i="8"/>
  <c r="G664" i="8"/>
  <c r="G599" i="8"/>
  <c r="G602" i="8"/>
  <c r="G544" i="8"/>
  <c r="G504" i="8"/>
  <c r="G454" i="8"/>
  <c r="G397" i="8"/>
  <c r="G310" i="8"/>
  <c r="G407" i="8"/>
  <c r="G313" i="8"/>
  <c r="G211" i="8"/>
  <c r="G517" i="8"/>
  <c r="G469" i="8"/>
  <c r="G412" i="8"/>
  <c r="G304" i="8"/>
  <c r="G427" i="8"/>
  <c r="G222" i="8"/>
  <c r="G174" i="8"/>
  <c r="G126" i="8"/>
  <c r="G72" i="8"/>
  <c r="G26" i="8"/>
  <c r="G179" i="8"/>
  <c r="G121" i="8"/>
  <c r="G73" i="8"/>
  <c r="G27" i="8"/>
  <c r="G1291" i="8"/>
  <c r="G1264" i="8"/>
  <c r="G1220" i="8"/>
  <c r="G1172" i="8"/>
  <c r="G1124" i="8"/>
  <c r="G1076" i="8"/>
  <c r="G1016" i="8"/>
  <c r="G1199" i="8"/>
  <c r="G1147" i="8"/>
  <c r="G1083" i="8"/>
  <c r="G1027" i="8"/>
  <c r="G1210" i="8"/>
  <c r="G1146" i="8"/>
  <c r="G1094" i="8"/>
  <c r="G1038" i="8"/>
  <c r="G1209" i="8"/>
  <c r="G1157" i="8"/>
  <c r="G1105" i="8"/>
  <c r="G1041" i="8"/>
  <c r="G989" i="8"/>
  <c r="G963" i="8"/>
  <c r="G931" i="8"/>
  <c r="G905" i="8"/>
  <c r="G873" i="8"/>
  <c r="G837" i="8"/>
  <c r="G807" i="8"/>
  <c r="G777" i="8"/>
  <c r="G741" i="8"/>
  <c r="G709" i="8"/>
  <c r="G679" i="8"/>
  <c r="G625" i="8"/>
  <c r="G640" i="8"/>
  <c r="G566" i="8"/>
  <c r="G968" i="8"/>
  <c r="G932" i="8"/>
  <c r="G896" i="8"/>
  <c r="G852" i="8"/>
  <c r="G816" i="8"/>
  <c r="G778" i="8"/>
  <c r="G732" i="8"/>
  <c r="G696" i="8"/>
  <c r="G660" i="8"/>
  <c r="G579" i="8"/>
  <c r="G598" i="8"/>
  <c r="G542" i="8"/>
  <c r="G492" i="8"/>
  <c r="G450" i="8"/>
  <c r="G381" i="8"/>
  <c r="G282" i="8"/>
  <c r="G402" i="8"/>
  <c r="G305" i="8"/>
  <c r="G559" i="8"/>
  <c r="G513" i="8"/>
  <c r="G465" i="8"/>
  <c r="G377" i="8"/>
  <c r="G292" i="8"/>
  <c r="G411" i="8"/>
  <c r="G303" i="8"/>
  <c r="G218" i="8"/>
  <c r="G172" i="8"/>
  <c r="G112" i="8"/>
  <c r="G66" i="8"/>
  <c r="G163" i="8"/>
  <c r="G117" i="8"/>
  <c r="G69" i="8"/>
  <c r="G11" i="8"/>
  <c r="G1250" i="8"/>
  <c r="G1280" i="8"/>
  <c r="G47" i="8"/>
  <c r="G1257" i="8"/>
  <c r="G1278" i="8"/>
  <c r="G1300" i="8"/>
  <c r="G1263" i="8"/>
  <c r="G1243" i="8"/>
  <c r="G15" i="8"/>
  <c r="G55" i="8"/>
  <c r="G91" i="8"/>
  <c r="G133" i="8"/>
  <c r="G171" i="8"/>
  <c r="G8" i="8"/>
  <c r="G44" i="8"/>
  <c r="G80" i="8"/>
  <c r="G122" i="8"/>
  <c r="G156" i="8"/>
  <c r="G194" i="8"/>
  <c r="G235" i="8"/>
  <c r="G307" i="8"/>
  <c r="G390" i="8"/>
  <c r="G244" i="8"/>
  <c r="G316" i="8"/>
  <c r="G385" i="8"/>
  <c r="G449" i="8"/>
  <c r="G487" i="8"/>
  <c r="G521" i="8"/>
  <c r="G565" i="8"/>
  <c r="G277" i="8"/>
  <c r="G359" i="8"/>
  <c r="G213" i="8"/>
  <c r="G290" i="8"/>
  <c r="G365" i="8"/>
  <c r="G429" i="8"/>
  <c r="G462" i="8"/>
  <c r="G496" i="8"/>
  <c r="G528" i="8"/>
  <c r="G560" i="8"/>
  <c r="G618" i="8"/>
  <c r="G583" i="8"/>
  <c r="G643" i="8"/>
  <c r="G678" i="8"/>
  <c r="G710" i="8"/>
  <c r="G738" i="8"/>
  <c r="G768" i="8"/>
  <c r="G796" i="8"/>
  <c r="G824" i="8"/>
  <c r="G856" i="8"/>
  <c r="G884" i="8"/>
  <c r="G914" i="8"/>
  <c r="G944" i="8"/>
  <c r="G970" i="8"/>
  <c r="G1002" i="8"/>
  <c r="G604" i="8"/>
  <c r="G577" i="8"/>
  <c r="G637" i="8"/>
  <c r="G669" i="8"/>
  <c r="G695" i="8"/>
  <c r="G717" i="8"/>
  <c r="G743" i="8"/>
  <c r="G767" i="8"/>
  <c r="G791" i="8"/>
  <c r="G815" i="8"/>
  <c r="G841" i="8"/>
  <c r="G863" i="8"/>
  <c r="G889" i="8"/>
  <c r="G913" i="8"/>
  <c r="G933" i="8"/>
  <c r="G955" i="8"/>
  <c r="G977" i="8"/>
  <c r="G997" i="8"/>
  <c r="G1045" i="8"/>
  <c r="G1089" i="8"/>
  <c r="G1129" i="8"/>
  <c r="G1173" i="8"/>
  <c r="G1217" i="8"/>
  <c r="G1022" i="8"/>
  <c r="G1066" i="8"/>
  <c r="G1110" i="8"/>
  <c r="G1150" i="8"/>
  <c r="G1194" i="8"/>
  <c r="G1238" i="8"/>
  <c r="G1043" i="8"/>
  <c r="G1087" i="8"/>
  <c r="G1131" i="8"/>
  <c r="G1171" i="8"/>
  <c r="G1215" i="8"/>
  <c r="G1024" i="8"/>
  <c r="G1064" i="8"/>
  <c r="G1108" i="8"/>
  <c r="G1152" i="8"/>
  <c r="G1192" i="8"/>
  <c r="G1236" i="8"/>
  <c r="G1314" i="8"/>
  <c r="G1338" i="8"/>
  <c r="G1298" i="8"/>
  <c r="G1293" i="8"/>
  <c r="G19" i="8"/>
  <c r="G59" i="8"/>
  <c r="G135" i="8"/>
  <c r="G177" i="8"/>
  <c r="G14" i="8"/>
  <c r="G48" i="8"/>
  <c r="G84" i="8"/>
  <c r="G124" i="8"/>
  <c r="G162" i="8"/>
  <c r="G196" i="8"/>
  <c r="G243" i="8"/>
  <c r="G315" i="8"/>
  <c r="G395" i="8"/>
  <c r="G256" i="8"/>
  <c r="G396" i="8"/>
  <c r="G451" i="8"/>
  <c r="G495" i="8"/>
  <c r="G531" i="8"/>
  <c r="G569" i="8"/>
  <c r="G289" i="8"/>
  <c r="G362" i="8"/>
  <c r="G226" i="8"/>
  <c r="G302" i="8"/>
  <c r="G368" i="8"/>
  <c r="G434" i="8"/>
  <c r="G466" i="8"/>
  <c r="G502" i="8"/>
  <c r="G532" i="8"/>
  <c r="G562" i="8"/>
  <c r="G626" i="8"/>
  <c r="G591" i="8"/>
  <c r="G656" i="8"/>
  <c r="G682" i="8"/>
  <c r="G712" i="8"/>
  <c r="G742" i="8"/>
  <c r="G770" i="8"/>
  <c r="G802" i="8"/>
  <c r="G828" i="8"/>
  <c r="G858" i="8"/>
  <c r="G888" i="8"/>
  <c r="G916" i="8"/>
  <c r="G948" i="8"/>
  <c r="G976" i="8"/>
  <c r="G1004" i="8"/>
  <c r="G612" i="8"/>
  <c r="G581" i="8"/>
  <c r="G644" i="8"/>
  <c r="G697" i="8"/>
  <c r="G723" i="8"/>
  <c r="G745" i="8"/>
  <c r="G771" i="8"/>
  <c r="G795" i="8"/>
  <c r="G819" i="8"/>
  <c r="G843" i="8"/>
  <c r="G869" i="8"/>
  <c r="G891" i="8"/>
  <c r="G915" i="8"/>
  <c r="G937" i="8"/>
  <c r="G979" i="8"/>
  <c r="G1007" i="8"/>
  <c r="G1093" i="8"/>
  <c r="G1177" i="8"/>
  <c r="G1030" i="8"/>
  <c r="G1114" i="8"/>
  <c r="G1198" i="8"/>
  <c r="G1051" i="8"/>
  <c r="G1135" i="8"/>
  <c r="G1219" i="8"/>
  <c r="G671" i="8"/>
  <c r="G957" i="8"/>
  <c r="G1049" i="8"/>
  <c r="G1137" i="8"/>
  <c r="G1221" i="8"/>
  <c r="G1070" i="8"/>
  <c r="G1158" i="8"/>
  <c r="G1003" i="8"/>
  <c r="G1091" i="8"/>
  <c r="G1179" i="8"/>
  <c r="G1028" i="8"/>
  <c r="G1352" i="8"/>
  <c r="G1344" i="8"/>
  <c r="G1343" i="8"/>
  <c r="G1308" i="8"/>
  <c r="G1276" i="8"/>
  <c r="G1287" i="8"/>
  <c r="G1282" i="8"/>
  <c r="G1242" i="8"/>
  <c r="G1289" i="8"/>
  <c r="G1245" i="8"/>
  <c r="G23" i="8"/>
  <c r="G43" i="8"/>
  <c r="G65" i="8"/>
  <c r="G85" i="8"/>
  <c r="G105" i="8"/>
  <c r="G127" i="8"/>
  <c r="G147" i="8"/>
  <c r="G169" i="8"/>
  <c r="G191" i="8"/>
  <c r="G12" i="8"/>
  <c r="G32" i="8"/>
  <c r="G52" i="8"/>
  <c r="G74" i="8"/>
  <c r="G94" i="8"/>
  <c r="G116" i="8"/>
  <c r="G138" i="8"/>
  <c r="G158" i="8"/>
  <c r="G178" i="8"/>
  <c r="G200" i="8"/>
  <c r="G220" i="8"/>
  <c r="G247" i="8"/>
  <c r="G295" i="8"/>
  <c r="G335" i="8"/>
  <c r="G374" i="8"/>
  <c r="G414" i="8"/>
  <c r="G240" i="8"/>
  <c r="G280" i="8"/>
  <c r="G320" i="8"/>
  <c r="G369" i="8"/>
  <c r="G409" i="8"/>
  <c r="G441" i="8"/>
  <c r="G463" i="8"/>
  <c r="G483" i="8"/>
  <c r="G503" i="8"/>
  <c r="G523" i="8"/>
  <c r="G547" i="8"/>
  <c r="G567" i="8"/>
  <c r="G249" i="8"/>
  <c r="G293" i="8"/>
  <c r="G333" i="8"/>
  <c r="G375" i="8"/>
  <c r="G418" i="8"/>
  <c r="G246" i="8"/>
  <c r="G286" i="8"/>
  <c r="G1336" i="8"/>
  <c r="G1303" i="8"/>
  <c r="G1302" i="8"/>
  <c r="G1339" i="8"/>
  <c r="G1296" i="8"/>
  <c r="G1252" i="8"/>
  <c r="G1290" i="8"/>
  <c r="G1246" i="8"/>
  <c r="G1281" i="8"/>
  <c r="G7" i="8"/>
  <c r="G31" i="8"/>
  <c r="G53" i="8"/>
  <c r="G79" i="8"/>
  <c r="G101" i="8"/>
  <c r="G123" i="8"/>
  <c r="G151" i="8"/>
  <c r="G175" i="8"/>
  <c r="G197" i="8"/>
  <c r="G46" i="8"/>
  <c r="G68" i="8"/>
  <c r="G92" i="8"/>
  <c r="G120" i="8"/>
  <c r="G142" i="8"/>
  <c r="G164" i="8"/>
  <c r="G190" i="8"/>
  <c r="G212" i="8"/>
  <c r="G239" i="8"/>
  <c r="G283" i="8"/>
  <c r="G339" i="8"/>
  <c r="G382" i="8"/>
  <c r="G430" i="8"/>
  <c r="G260" i="8"/>
  <c r="G308" i="8"/>
  <c r="G353" i="8"/>
  <c r="G404" i="8"/>
  <c r="G443" i="8"/>
  <c r="G467" i="8"/>
  <c r="G491" i="8"/>
  <c r="G515" i="8"/>
  <c r="G537" i="8"/>
  <c r="G561" i="8"/>
  <c r="G245" i="8"/>
  <c r="G297" i="8"/>
  <c r="G341" i="8"/>
  <c r="G394" i="8"/>
  <c r="G221" i="8"/>
  <c r="G270" i="8"/>
  <c r="G318" i="8"/>
  <c r="G360" i="8"/>
  <c r="G400" i="8"/>
  <c r="G436" i="8"/>
  <c r="G456" i="8"/>
  <c r="G478" i="8"/>
  <c r="G498" i="8"/>
  <c r="G520" i="8"/>
  <c r="G540" i="8"/>
  <c r="G558" i="8"/>
  <c r="G594" i="8"/>
  <c r="G630" i="8"/>
  <c r="G575" i="8"/>
  <c r="G611" i="8"/>
  <c r="G648" i="8"/>
  <c r="G672" i="8"/>
  <c r="G690" i="8"/>
  <c r="G708" i="8"/>
  <c r="G726" i="8"/>
  <c r="G744" i="8"/>
  <c r="G762" i="8"/>
  <c r="G780" i="8"/>
  <c r="G800" i="8"/>
  <c r="G818" i="8"/>
  <c r="G836" i="8"/>
  <c r="G854" i="8"/>
  <c r="G872" i="8"/>
  <c r="G890" i="8"/>
  <c r="G908" i="8"/>
  <c r="G928" i="8"/>
  <c r="G946" i="8"/>
  <c r="G964" i="8"/>
  <c r="G982" i="8"/>
  <c r="G1000" i="8"/>
  <c r="G580" i="8"/>
  <c r="G616" i="8"/>
  <c r="G568" i="8"/>
  <c r="G605" i="8"/>
  <c r="G641" i="8"/>
  <c r="G665" i="8"/>
  <c r="G683" i="8"/>
  <c r="G701" i="8"/>
  <c r="G719" i="8"/>
  <c r="G739" i="8"/>
  <c r="G757" i="8"/>
  <c r="G775" i="8"/>
  <c r="G793" i="8"/>
  <c r="G811" i="8"/>
  <c r="G829" i="8"/>
  <c r="G847" i="8"/>
  <c r="G867" i="8"/>
  <c r="G885" i="8"/>
  <c r="G903" i="8"/>
  <c r="G919" i="8"/>
  <c r="G935" i="8"/>
  <c r="G951" i="8"/>
  <c r="G967" i="8"/>
  <c r="G983" i="8"/>
  <c r="G999" i="8"/>
  <c r="G1037" i="8"/>
  <c r="G1069" i="8"/>
  <c r="G1101" i="8"/>
  <c r="G1133" i="8"/>
  <c r="G1165" i="8"/>
  <c r="G1197" i="8"/>
  <c r="G1229" i="8"/>
  <c r="G1026" i="8"/>
  <c r="G1058" i="8"/>
  <c r="G1090" i="8"/>
  <c r="G1122" i="8"/>
  <c r="G1154" i="8"/>
  <c r="G1186" i="8"/>
  <c r="G1218" i="8"/>
  <c r="G1015" i="8"/>
  <c r="G1047" i="8"/>
  <c r="G1079" i="8"/>
  <c r="G1111" i="8"/>
  <c r="G1143" i="8"/>
  <c r="G1175" i="8"/>
  <c r="G1207" i="8"/>
  <c r="G1239" i="8"/>
  <c r="G1036" i="8"/>
  <c r="G1068" i="8"/>
  <c r="G1100" i="8"/>
  <c r="G1132" i="8"/>
  <c r="G1164" i="8"/>
  <c r="G1196" i="8"/>
  <c r="G1228" i="8"/>
  <c r="G1307" i="8"/>
  <c r="G1292" i="8"/>
  <c r="G1244" i="8"/>
  <c r="G1286" i="8"/>
  <c r="G1295" i="8"/>
  <c r="G1273" i="8"/>
  <c r="G1353" i="8"/>
  <c r="G1306" i="8"/>
  <c r="G1342" i="8"/>
  <c r="G1341" i="8"/>
  <c r="G1272" i="8"/>
  <c r="G1275" i="8"/>
  <c r="G1270" i="8"/>
  <c r="G1251" i="8"/>
  <c r="G1261" i="8"/>
  <c r="G17" i="8"/>
  <c r="G41" i="8"/>
  <c r="G67" i="8"/>
  <c r="G115" i="8"/>
  <c r="G137" i="8"/>
  <c r="G161" i="8"/>
  <c r="G183" i="8"/>
  <c r="G34" i="8"/>
  <c r="G58" i="8"/>
  <c r="G82" i="8"/>
  <c r="G106" i="8"/>
  <c r="G128" i="8"/>
  <c r="G154" i="8"/>
  <c r="G176" i="8"/>
  <c r="G202" i="8"/>
  <c r="G215" i="8"/>
  <c r="G267" i="8"/>
  <c r="G311" i="8"/>
  <c r="G358" i="8"/>
  <c r="G406" i="8"/>
  <c r="G236" i="8"/>
  <c r="G284" i="8"/>
  <c r="G336" i="8"/>
  <c r="G380" i="8"/>
  <c r="G428" i="8"/>
  <c r="G455" i="8"/>
  <c r="G479" i="8"/>
  <c r="G501" i="8"/>
  <c r="G529" i="8"/>
  <c r="G551" i="8"/>
  <c r="G225" i="8"/>
  <c r="G269" i="8"/>
  <c r="G321" i="8"/>
  <c r="G367" i="8"/>
  <c r="G410" i="8"/>
  <c r="G250" i="8"/>
  <c r="G298" i="8"/>
  <c r="G338" i="8"/>
  <c r="G376" i="8"/>
  <c r="G416" i="8"/>
  <c r="G448" i="8"/>
  <c r="G468" i="8"/>
  <c r="G488" i="8"/>
  <c r="G510" i="8"/>
  <c r="G530" i="8"/>
  <c r="G548" i="8"/>
  <c r="G574" i="8"/>
  <c r="G610" i="8"/>
  <c r="G650" i="8"/>
  <c r="G595" i="8"/>
  <c r="G631" i="8"/>
  <c r="G662" i="8"/>
  <c r="G680" i="8"/>
  <c r="G698" i="8"/>
  <c r="G716" i="8"/>
  <c r="G736" i="8"/>
  <c r="G754" i="8"/>
  <c r="G772" i="8"/>
  <c r="G790" i="8"/>
  <c r="G808" i="8"/>
  <c r="G826" i="8"/>
  <c r="G844" i="8"/>
  <c r="G864" i="8"/>
  <c r="G882" i="8"/>
  <c r="G900" i="8"/>
  <c r="G918" i="8"/>
  <c r="G936" i="8"/>
  <c r="G954" i="8"/>
  <c r="G972" i="8"/>
  <c r="G992" i="8"/>
  <c r="G1010" i="8"/>
  <c r="G600" i="8"/>
  <c r="G636" i="8"/>
  <c r="G585" i="8"/>
  <c r="G621" i="8"/>
  <c r="G655" i="8"/>
  <c r="G675" i="8"/>
  <c r="G693" i="8"/>
  <c r="G711" i="8"/>
  <c r="G729" i="8"/>
  <c r="G747" i="8"/>
  <c r="G765" i="8"/>
  <c r="G783" i="8"/>
  <c r="G803" i="8"/>
  <c r="G821" i="8"/>
  <c r="G839" i="8"/>
  <c r="G857" i="8"/>
  <c r="G875" i="8"/>
  <c r="G893" i="8"/>
  <c r="G911" i="8"/>
  <c r="G927" i="8"/>
  <c r="G943" i="8"/>
  <c r="G959" i="8"/>
  <c r="G975" i="8"/>
  <c r="G991" i="8"/>
  <c r="G1021" i="8"/>
  <c r="G1053" i="8"/>
  <c r="G1085" i="8"/>
  <c r="G1117" i="8"/>
  <c r="G1149" i="8"/>
  <c r="G1181" i="8"/>
  <c r="G1213" i="8"/>
  <c r="G1009" i="8"/>
  <c r="G1042" i="8"/>
  <c r="G1074" i="8"/>
  <c r="G1106" i="8"/>
  <c r="G1138" i="8"/>
  <c r="G1170" i="8"/>
  <c r="G1202" i="8"/>
  <c r="G1234" i="8"/>
  <c r="G1031" i="8"/>
  <c r="G1063" i="8"/>
  <c r="G1095" i="8"/>
  <c r="G1127" i="8"/>
  <c r="G1159" i="8"/>
  <c r="G1191" i="8"/>
  <c r="G1223" i="8"/>
  <c r="G1020" i="8"/>
  <c r="G1052" i="8"/>
  <c r="G1084" i="8"/>
  <c r="G1116" i="8"/>
  <c r="G1148" i="8"/>
  <c r="G1180" i="8"/>
  <c r="G1212" i="8"/>
  <c r="G1347" i="8"/>
  <c r="G1335" i="8"/>
  <c r="G1309" i="8"/>
  <c r="G1260" i="8"/>
  <c r="G1247" i="8"/>
  <c r="G1254" i="8"/>
  <c r="G1297" i="8"/>
  <c r="G1249" i="8"/>
  <c r="G25" i="8"/>
  <c r="G49" i="8"/>
  <c r="G71" i="8"/>
  <c r="G97" i="8"/>
  <c r="G119" i="8"/>
  <c r="G143" i="8"/>
  <c r="G165" i="8"/>
  <c r="G193" i="8"/>
  <c r="G16" i="8"/>
  <c r="G40" i="8"/>
  <c r="G64" i="8"/>
  <c r="G88" i="8"/>
  <c r="G110" i="8"/>
  <c r="G136" i="8"/>
  <c r="G160" i="8"/>
  <c r="G184" i="8"/>
  <c r="G208" i="8"/>
  <c r="G231" i="8"/>
  <c r="G275" i="8"/>
  <c r="G319" i="8"/>
  <c r="G371" i="8"/>
  <c r="G422" i="8"/>
  <c r="G248" i="8"/>
  <c r="G300" i="8"/>
  <c r="G388" i="8"/>
  <c r="G437" i="8"/>
  <c r="G459" i="8"/>
  <c r="G485" i="8"/>
  <c r="G511" i="8"/>
  <c r="G533" i="8"/>
  <c r="G555" i="8"/>
  <c r="G233" i="8"/>
  <c r="G281" i="8"/>
  <c r="G329" i="8"/>
  <c r="G378" i="8"/>
  <c r="G431" i="8"/>
  <c r="G258" i="8"/>
  <c r="G306" i="8"/>
  <c r="G346" i="8"/>
  <c r="G392" i="8"/>
  <c r="G432" i="8"/>
  <c r="G452" i="8"/>
  <c r="G494" i="8"/>
  <c r="G514" i="8"/>
  <c r="G534" i="8"/>
  <c r="G552" i="8"/>
  <c r="G586" i="8"/>
  <c r="G622" i="8"/>
  <c r="G564" i="8"/>
  <c r="G603" i="8"/>
  <c r="G639" i="8"/>
  <c r="G666" i="8"/>
  <c r="G684" i="8"/>
  <c r="G704" i="8"/>
  <c r="G722" i="8"/>
  <c r="G740" i="8"/>
  <c r="G758" i="8"/>
  <c r="G776" i="8"/>
  <c r="G794" i="8"/>
  <c r="G812" i="8"/>
  <c r="G832" i="8"/>
  <c r="G850" i="8"/>
  <c r="G868" i="8"/>
  <c r="G886" i="8"/>
  <c r="G904" i="8"/>
  <c r="G922" i="8"/>
  <c r="G940" i="8"/>
  <c r="G960" i="8"/>
  <c r="G978" i="8"/>
  <c r="G996" i="8"/>
  <c r="G572" i="8"/>
  <c r="G608" i="8"/>
  <c r="G646" i="8"/>
  <c r="G593" i="8"/>
  <c r="G633" i="8"/>
  <c r="G1355" i="8"/>
  <c r="G1346" i="8"/>
  <c r="G1351" i="8"/>
  <c r="G1312" i="8"/>
  <c r="G1340" i="8"/>
  <c r="G1337" i="8"/>
  <c r="G1268" i="8"/>
  <c r="G1299" i="8"/>
  <c r="G1294" i="8"/>
  <c r="G1262" i="8"/>
  <c r="G1279" i="8"/>
  <c r="G1285" i="8"/>
  <c r="G1253" i="8"/>
  <c r="G13" i="8"/>
  <c r="G29" i="8"/>
  <c r="G45" i="8"/>
  <c r="G61" i="8"/>
  <c r="G77" i="8"/>
  <c r="G93" i="8"/>
  <c r="G109" i="8"/>
  <c r="G125" i="8"/>
  <c r="G141" i="8"/>
  <c r="G157" i="8"/>
  <c r="G173" i="8"/>
  <c r="G189" i="8"/>
  <c r="G205" i="8"/>
  <c r="G22" i="8"/>
  <c r="G38" i="8"/>
  <c r="G54" i="8"/>
  <c r="G70" i="8"/>
  <c r="G86" i="8"/>
  <c r="G102" i="8"/>
  <c r="G118" i="8"/>
  <c r="G134" i="8"/>
  <c r="G150" i="8"/>
  <c r="G166" i="8"/>
  <c r="G182" i="8"/>
  <c r="G198" i="8"/>
  <c r="G214" i="8"/>
  <c r="G227" i="8"/>
  <c r="G259" i="8"/>
  <c r="G291" i="8"/>
  <c r="G323" i="8"/>
  <c r="G355" i="8"/>
  <c r="G387" i="8"/>
  <c r="G419" i="8"/>
  <c r="G232" i="8"/>
  <c r="G264" i="8"/>
  <c r="G296" i="8"/>
  <c r="G328" i="8"/>
  <c r="G361" i="8"/>
  <c r="G393" i="8"/>
  <c r="G425" i="8"/>
  <c r="G445" i="8"/>
  <c r="G461" i="8"/>
  <c r="G477" i="8"/>
  <c r="G493" i="8"/>
  <c r="G509" i="8"/>
  <c r="G525" i="8"/>
  <c r="G541" i="8"/>
  <c r="G557" i="8"/>
  <c r="G219" i="8"/>
  <c r="G253" i="8"/>
  <c r="G285" i="8"/>
  <c r="G317" i="8"/>
  <c r="G351" i="8"/>
  <c r="G383" i="8"/>
  <c r="G415" i="8"/>
  <c r="G230" i="8"/>
  <c r="G262" i="8"/>
  <c r="G294" i="8"/>
  <c r="G326" i="8"/>
  <c r="G357" i="8"/>
  <c r="G389" i="8"/>
  <c r="G421" i="8"/>
  <c r="G442" i="8"/>
  <c r="G458" i="8"/>
  <c r="G474" i="8"/>
  <c r="G490" i="8"/>
  <c r="G506" i="8"/>
  <c r="G522" i="8"/>
  <c r="G538" i="8"/>
  <c r="G554" i="8"/>
  <c r="G582" i="8"/>
  <c r="G614" i="8"/>
  <c r="G645" i="8"/>
  <c r="G587" i="8"/>
  <c r="G619" i="8"/>
  <c r="G651" i="8"/>
  <c r="G670" i="8"/>
  <c r="G686" i="8"/>
  <c r="G702" i="8"/>
  <c r="G718" i="8"/>
  <c r="G734" i="8"/>
  <c r="G750" i="8"/>
  <c r="G766" i="8"/>
  <c r="G782" i="8"/>
  <c r="G798" i="8"/>
  <c r="G814" i="8"/>
  <c r="G830" i="8"/>
  <c r="G846" i="8"/>
  <c r="G862" i="8"/>
  <c r="G878" i="8"/>
  <c r="G894" i="8"/>
  <c r="G910" i="8"/>
  <c r="G926" i="8"/>
  <c r="G942" i="8"/>
  <c r="G958" i="8"/>
  <c r="G974" i="8"/>
  <c r="G990" i="8"/>
  <c r="G1006" i="8"/>
  <c r="G588" i="8"/>
  <c r="G620" i="8"/>
  <c r="G654" i="8"/>
  <c r="G597" i="8"/>
  <c r="G629" i="8"/>
  <c r="G657" i="8"/>
  <c r="G673" i="8"/>
  <c r="G689" i="8"/>
  <c r="G705" i="8"/>
  <c r="G721" i="8"/>
  <c r="G737" i="8"/>
  <c r="G753" i="8"/>
  <c r="G769" i="8"/>
  <c r="G785" i="8"/>
  <c r="G801" i="8"/>
  <c r="G817" i="8"/>
  <c r="G833" i="8"/>
  <c r="G849" i="8"/>
  <c r="G865" i="8"/>
  <c r="G881" i="8"/>
  <c r="G897" i="8"/>
  <c r="G1348" i="8"/>
  <c r="G1311" i="8"/>
  <c r="G1284" i="8"/>
  <c r="G1248" i="8"/>
  <c r="G1267" i="8"/>
  <c r="G1266" i="8"/>
  <c r="G1271" i="8"/>
  <c r="G1277" i="8"/>
  <c r="G1241" i="8"/>
  <c r="G21" i="8"/>
  <c r="G39" i="8"/>
  <c r="G57" i="8"/>
  <c r="G75" i="8"/>
  <c r="G95" i="8"/>
  <c r="G113" i="8"/>
  <c r="G131" i="8"/>
  <c r="G149" i="8"/>
  <c r="G167" i="8"/>
  <c r="G185" i="8"/>
  <c r="G203" i="8"/>
  <c r="G24" i="8"/>
  <c r="G42" i="8"/>
  <c r="G60" i="8"/>
  <c r="G114" i="8"/>
  <c r="G132" i="8"/>
  <c r="G152" i="8"/>
  <c r="G170" i="8"/>
  <c r="G188" i="8"/>
  <c r="G206" i="8"/>
  <c r="G207" i="8"/>
  <c r="G251" i="8"/>
  <c r="G287" i="8"/>
  <c r="G327" i="8"/>
  <c r="G363" i="8"/>
  <c r="G398" i="8"/>
  <c r="G209" i="8"/>
  <c r="G252" i="8"/>
  <c r="G288" i="8"/>
  <c r="G324" i="8"/>
  <c r="G364" i="8"/>
  <c r="G401" i="8"/>
  <c r="G435" i="8"/>
  <c r="G453" i="8"/>
  <c r="G471" i="8"/>
  <c r="G489" i="8"/>
  <c r="G507" i="8"/>
  <c r="G527" i="8"/>
  <c r="G545" i="8"/>
  <c r="G563" i="8"/>
  <c r="G237" i="8"/>
  <c r="G273" i="8"/>
  <c r="G309" i="8"/>
  <c r="G345" i="8"/>
  <c r="G386" i="8"/>
  <c r="G423" i="8"/>
  <c r="G242" i="8"/>
  <c r="G278" i="8"/>
  <c r="G314" i="8"/>
  <c r="G349" i="8"/>
  <c r="G384" i="8"/>
  <c r="G424" i="8"/>
  <c r="G446" i="8"/>
  <c r="G464" i="8"/>
  <c r="G482" i="8"/>
  <c r="G500" i="8"/>
  <c r="G518" i="8"/>
  <c r="G1345" i="8"/>
  <c r="G969" i="5"/>
  <c r="G4488" i="5"/>
  <c r="G2594" i="5"/>
  <c r="F417" i="6"/>
  <c r="G3972" i="5"/>
  <c r="G3751" i="5"/>
  <c r="G4110" i="5"/>
  <c r="A3" i="7"/>
  <c r="G1354" i="8"/>
  <c r="G4472" i="5"/>
  <c r="G4448" i="5"/>
  <c r="G3899" i="5"/>
  <c r="G3965" i="5"/>
  <c r="G2626" i="5"/>
  <c r="G309" i="5"/>
  <c r="G308" i="5"/>
  <c r="G3748" i="5"/>
  <c r="G2896" i="5"/>
  <c r="G529" i="5"/>
  <c r="G4457" i="5"/>
  <c r="G4445" i="5"/>
  <c r="G4870" i="5"/>
  <c r="G4369" i="5"/>
  <c r="G3964" i="5"/>
  <c r="G3937" i="5"/>
  <c r="G3006" i="5"/>
  <c r="G2574" i="5"/>
  <c r="G2474" i="5"/>
  <c r="E3616" i="5"/>
  <c r="A1" i="6"/>
  <c r="A1" i="7"/>
  <c r="A3" i="6"/>
  <c r="G4672" i="5"/>
  <c r="G3123" i="5"/>
  <c r="G2018" i="5"/>
  <c r="G4019" i="5"/>
  <c r="G3792" i="5"/>
  <c r="G1997" i="5"/>
  <c r="G1490" i="5"/>
  <c r="G3558" i="5"/>
  <c r="G3127" i="5"/>
  <c r="G410" i="5"/>
  <c r="G4425" i="5"/>
  <c r="G2450" i="5"/>
  <c r="G2220" i="5"/>
  <c r="G409" i="5"/>
  <c r="G405" i="5"/>
  <c r="G406" i="5"/>
  <c r="G402" i="5"/>
  <c r="G408" i="5"/>
  <c r="G404" i="5"/>
  <c r="G3333" i="5"/>
  <c r="G4626" i="5"/>
  <c r="G4555" i="5"/>
  <c r="G3898" i="5"/>
  <c r="G4893" i="5"/>
  <c r="G4688" i="5"/>
  <c r="G4587" i="5"/>
  <c r="G4342" i="5"/>
  <c r="G4103" i="5"/>
  <c r="G3948" i="5"/>
  <c r="G3856" i="5"/>
  <c r="G3783" i="5"/>
  <c r="G3490" i="5"/>
  <c r="G3153" i="5"/>
  <c r="G3145" i="5"/>
  <c r="G868" i="5"/>
  <c r="G770" i="5"/>
  <c r="G354" i="5"/>
  <c r="G4720" i="5"/>
  <c r="G4521" i="5"/>
  <c r="G4336" i="5"/>
  <c r="G4318" i="5"/>
  <c r="G4131" i="5"/>
  <c r="G3947" i="5"/>
  <c r="G3741" i="5"/>
  <c r="G3681" i="5"/>
  <c r="G3524" i="5"/>
  <c r="G3245" i="5"/>
  <c r="G2753" i="5"/>
  <c r="G1589" i="5"/>
  <c r="G1148" i="5"/>
  <c r="G769" i="5"/>
  <c r="G3946" i="5"/>
  <c r="G3738" i="5"/>
  <c r="G926" i="5"/>
  <c r="G4347" i="5"/>
  <c r="G4343" i="5"/>
  <c r="G4309" i="5"/>
  <c r="G3491" i="5"/>
  <c r="G3273" i="5"/>
  <c r="G3224" i="5"/>
  <c r="G3154" i="5"/>
  <c r="G2746" i="5"/>
  <c r="G2598" i="5"/>
  <c r="G2518" i="5"/>
  <c r="G1779" i="5"/>
  <c r="G1197" i="5"/>
  <c r="G1169" i="5"/>
  <c r="G801" i="5"/>
  <c r="G797" i="5"/>
  <c r="G578" i="5"/>
  <c r="G2249" i="5"/>
  <c r="F424" i="6"/>
  <c r="F70" i="7"/>
  <c r="G5117" i="5"/>
  <c r="G4863" i="5"/>
  <c r="G4712" i="5"/>
  <c r="G3498" i="5"/>
  <c r="G3464" i="5"/>
  <c r="G3429" i="5"/>
  <c r="G1970" i="5"/>
  <c r="G1042" i="5"/>
  <c r="G1001" i="5"/>
  <c r="G996" i="5"/>
  <c r="G793" i="5"/>
  <c r="G3465" i="5"/>
  <c r="G3455" i="5"/>
  <c r="G3430" i="5"/>
  <c r="G3259" i="5"/>
  <c r="G3211" i="5"/>
  <c r="G2880" i="5"/>
  <c r="G2590" i="5"/>
  <c r="G1041" i="5"/>
  <c r="G1793" i="5"/>
  <c r="G1246" i="5"/>
  <c r="G1094" i="5"/>
  <c r="G1049" i="5"/>
  <c r="G1000" i="5"/>
  <c r="G810" i="5"/>
  <c r="G800" i="5"/>
  <c r="G796" i="5"/>
  <c r="G553" i="5"/>
  <c r="G417" i="5"/>
  <c r="G252" i="5"/>
  <c r="G1445" i="5"/>
  <c r="G987" i="5"/>
  <c r="G944" i="5"/>
  <c r="G809" i="5"/>
  <c r="G799" i="5"/>
  <c r="G795" i="5"/>
  <c r="G596" i="5"/>
  <c r="G416" i="5"/>
  <c r="G798" i="5"/>
  <c r="G794" i="5"/>
  <c r="F69" i="7"/>
  <c r="G3797" i="5"/>
  <c r="G2019" i="5"/>
  <c r="G488" i="5"/>
  <c r="G4546" i="5"/>
  <c r="G4146" i="5"/>
  <c r="G3963" i="5"/>
  <c r="G3696" i="5"/>
  <c r="G3306" i="5"/>
  <c r="G3896" i="5"/>
  <c r="F64" i="7"/>
  <c r="G4334" i="5"/>
  <c r="G4842" i="5"/>
  <c r="G1545" i="5"/>
  <c r="F154" i="6"/>
  <c r="G4121" i="5"/>
  <c r="G4319" i="5"/>
  <c r="G4123" i="5"/>
  <c r="G3938" i="5"/>
  <c r="G3749" i="5"/>
  <c r="G5084" i="5"/>
  <c r="G5071" i="5"/>
  <c r="G4959" i="5"/>
  <c r="G4901" i="5"/>
  <c r="G4737" i="5"/>
  <c r="G4747" i="5"/>
  <c r="G4704" i="5"/>
  <c r="G4680" i="5"/>
  <c r="G4637" i="5"/>
  <c r="G4025" i="5"/>
  <c r="G4963" i="5"/>
  <c r="G4781" i="5"/>
  <c r="G4767" i="5"/>
  <c r="G4746" i="5"/>
  <c r="G4739" i="5"/>
  <c r="G4489" i="5"/>
  <c r="G4477" i="5"/>
  <c r="G4379" i="5"/>
  <c r="G4375" i="5"/>
  <c r="G4994" i="5"/>
  <c r="G4986" i="5"/>
  <c r="G4960" i="5"/>
  <c r="G4814" i="5"/>
  <c r="G4648" i="5"/>
  <c r="G4636" i="5"/>
  <c r="G4520" i="5"/>
  <c r="G4470" i="5"/>
  <c r="G4460" i="5"/>
  <c r="G2250" i="5"/>
  <c r="G4372" i="5"/>
  <c r="G4353" i="5"/>
  <c r="G4348" i="5"/>
  <c r="G4144" i="5"/>
  <c r="G3834" i="5"/>
  <c r="G3612" i="5"/>
  <c r="G3463" i="5"/>
  <c r="G3454" i="5"/>
  <c r="G3231" i="5"/>
  <c r="G3146" i="5"/>
  <c r="G4176" i="5"/>
  <c r="G3500" i="5"/>
  <c r="G3439" i="5"/>
  <c r="G3209" i="5"/>
  <c r="G3032" i="5"/>
  <c r="G2658" i="5"/>
  <c r="G2586" i="5"/>
  <c r="G1211" i="5"/>
  <c r="G4446" i="5"/>
  <c r="G4374" i="5"/>
  <c r="G4255" i="5"/>
  <c r="G4043" i="5"/>
  <c r="G4026" i="5"/>
  <c r="G3966" i="5"/>
  <c r="G3939" i="5"/>
  <c r="G3759" i="5"/>
  <c r="G3499" i="5"/>
  <c r="G3438" i="5"/>
  <c r="G3208" i="5"/>
  <c r="G3110" i="5"/>
  <c r="G2622" i="5"/>
  <c r="G2546" i="5"/>
  <c r="G2502" i="5"/>
  <c r="G2538" i="5"/>
  <c r="G2268" i="5"/>
  <c r="G1076" i="5"/>
  <c r="G990" i="5"/>
  <c r="G707" i="5"/>
  <c r="G700" i="5"/>
  <c r="G1983" i="5"/>
  <c r="G1430" i="5"/>
  <c r="G1095" i="5"/>
  <c r="G998" i="5"/>
  <c r="G963" i="5"/>
  <c r="G890" i="5"/>
  <c r="G2554" i="5"/>
  <c r="G2326" i="5"/>
  <c r="G2304" i="5"/>
  <c r="G1063" i="5"/>
  <c r="G997" i="5"/>
  <c r="G932" i="5"/>
  <c r="G593" i="5"/>
  <c r="G518" i="5"/>
  <c r="G407" i="5"/>
  <c r="G403" i="5"/>
  <c r="G307" i="5"/>
  <c r="G808" i="5"/>
  <c r="G740" i="5"/>
  <c r="G718" i="5"/>
  <c r="G711" i="5"/>
  <c r="G1239" i="5"/>
  <c r="G1225" i="5"/>
  <c r="G1190" i="5"/>
  <c r="G1070" i="5"/>
  <c r="G1040" i="5"/>
  <c r="G1020" i="5"/>
  <c r="G943" i="5"/>
  <c r="G811" i="5"/>
  <c r="G807" i="5"/>
  <c r="G743" i="5"/>
  <c r="G720" i="5"/>
  <c r="G677" i="5"/>
  <c r="G626" i="5"/>
  <c r="G569" i="5"/>
  <c r="G559" i="5"/>
  <c r="G505" i="5"/>
  <c r="G729" i="5"/>
  <c r="G629" i="5"/>
  <c r="G558" i="5"/>
  <c r="F27" i="7"/>
  <c r="G2163" i="5"/>
  <c r="F130" i="6"/>
  <c r="G393" i="5"/>
  <c r="F187" i="6"/>
  <c r="G624" i="5"/>
  <c r="F425" i="6"/>
  <c r="F289" i="6"/>
  <c r="G1356" i="8"/>
  <c r="G4754" i="5"/>
  <c r="G5046" i="5"/>
  <c r="G5030" i="5"/>
  <c r="G5016" i="5"/>
  <c r="G4844" i="5"/>
  <c r="G5038" i="5"/>
  <c r="G4864" i="5"/>
  <c r="G5091" i="5"/>
  <c r="G5002" i="5"/>
  <c r="G4588" i="5"/>
  <c r="G5085" i="5"/>
  <c r="G4978" i="5"/>
  <c r="G4917" i="5"/>
  <c r="G4696" i="5"/>
  <c r="G4650" i="5"/>
  <c r="G4647" i="5"/>
  <c r="G4490" i="5"/>
  <c r="G4395" i="5"/>
  <c r="G4807" i="5"/>
  <c r="G4774" i="5"/>
  <c r="G4738" i="5"/>
  <c r="G4649" i="5"/>
  <c r="G4646" i="5"/>
  <c r="G4639" i="5"/>
  <c r="G4469" i="5"/>
  <c r="G4458" i="5"/>
  <c r="G4728" i="5"/>
  <c r="G4585" i="5"/>
  <c r="G4441" i="5"/>
  <c r="G4352" i="5"/>
  <c r="G4108" i="5"/>
  <c r="G3955" i="5"/>
  <c r="G3929" i="5"/>
  <c r="G3894" i="5"/>
  <c r="G3800" i="5"/>
  <c r="G3631" i="5"/>
  <c r="G3326" i="5"/>
  <c r="G3280" i="5"/>
  <c r="G3019" i="5"/>
  <c r="G2872" i="5"/>
  <c r="G2510" i="5"/>
  <c r="G4760" i="5"/>
  <c r="G4640" i="5"/>
  <c r="G4476" i="5"/>
  <c r="G4429" i="5"/>
  <c r="G4380" i="5"/>
  <c r="G4245" i="5"/>
  <c r="G4008" i="5"/>
  <c r="G3928" i="5"/>
  <c r="G3739" i="5"/>
  <c r="G3695" i="5"/>
  <c r="G3643" i="5"/>
  <c r="G3238" i="5"/>
  <c r="G3117" i="5"/>
  <c r="G3103" i="5"/>
  <c r="G2530" i="5"/>
  <c r="G4111" i="5"/>
  <c r="G4082" i="5"/>
  <c r="G4011" i="5"/>
  <c r="G3957" i="5"/>
  <c r="G3897" i="5"/>
  <c r="G3777" i="5"/>
  <c r="G3742" i="5"/>
  <c r="G3591" i="5"/>
  <c r="G3539" i="5"/>
  <c r="G3252" i="5"/>
  <c r="G2638" i="5"/>
  <c r="G4545" i="5"/>
  <c r="G4459" i="5"/>
  <c r="G4396" i="5"/>
  <c r="G4205" i="5"/>
  <c r="G4157" i="5"/>
  <c r="G3956" i="5"/>
  <c r="G3930" i="5"/>
  <c r="G3590" i="5"/>
  <c r="G3553" i="5"/>
  <c r="G3527" i="5"/>
  <c r="G3320" i="5"/>
  <c r="G3266" i="5"/>
  <c r="G2888" i="5"/>
  <c r="G2325" i="5"/>
  <c r="G2292" i="5"/>
  <c r="G2558" i="5"/>
  <c r="G2506" i="5"/>
  <c r="G1991" i="5"/>
  <c r="G2470" i="5"/>
  <c r="G2770" i="5"/>
  <c r="G2582" i="5"/>
  <c r="G2550" i="5"/>
  <c r="G2534" i="5"/>
  <c r="G2514" i="5"/>
  <c r="G2316" i="5"/>
  <c r="G1259" i="5"/>
  <c r="G2462" i="5"/>
  <c r="G2280" i="5"/>
  <c r="G2004" i="5"/>
  <c r="G1287" i="5"/>
  <c r="G1267" i="5"/>
  <c r="G1460" i="5"/>
  <c r="G1577" i="5"/>
  <c r="G1505" i="5"/>
  <c r="G1319" i="5"/>
  <c r="G1217" i="5"/>
  <c r="G1183" i="5"/>
  <c r="G1161" i="5"/>
  <c r="G1141" i="5"/>
  <c r="G1086" i="5"/>
  <c r="G941" i="5"/>
  <c r="G934" i="5"/>
  <c r="G781" i="5"/>
  <c r="G777" i="5"/>
  <c r="G717" i="5"/>
  <c r="G708" i="5"/>
  <c r="G674" i="5"/>
  <c r="G538" i="5"/>
  <c r="G1318" i="5"/>
  <c r="G1294" i="5"/>
  <c r="G1204" i="5"/>
  <c r="G1085" i="5"/>
  <c r="G1033" i="5"/>
  <c r="G1018" i="5"/>
  <c r="G837" i="5"/>
  <c r="G780" i="5"/>
  <c r="G775" i="5"/>
  <c r="G719" i="5"/>
  <c r="G634" i="5"/>
  <c r="G5056" i="5"/>
  <c r="G1232" i="5"/>
  <c r="G1032" i="5"/>
  <c r="G1017" i="5"/>
  <c r="G970" i="5"/>
  <c r="G883" i="5"/>
  <c r="G836" i="5"/>
  <c r="G779" i="5"/>
  <c r="G710" i="5"/>
  <c r="G637" i="5"/>
  <c r="G323" i="5"/>
  <c r="G1087" i="5"/>
  <c r="G985" i="5"/>
  <c r="G935" i="5"/>
  <c r="G778" i="5"/>
  <c r="G735" i="5"/>
  <c r="G726" i="5"/>
  <c r="G703" i="5"/>
  <c r="G585" i="5"/>
  <c r="G465" i="5"/>
  <c r="F170" i="6"/>
  <c r="G3270" i="5"/>
  <c r="G618" i="5"/>
  <c r="G960" i="5"/>
  <c r="G1159" i="5"/>
  <c r="G1655" i="5"/>
  <c r="G1965" i="5"/>
  <c r="G3908" i="5"/>
  <c r="G4135" i="5"/>
  <c r="F80" i="7"/>
  <c r="G463" i="5"/>
  <c r="G439" i="5"/>
  <c r="G340" i="5"/>
  <c r="G1109" i="5"/>
  <c r="G1208" i="5"/>
  <c r="G1774" i="5"/>
  <c r="G2037" i="5"/>
  <c r="G3912" i="5"/>
  <c r="G663" i="5"/>
  <c r="G1166" i="5"/>
  <c r="G1602" i="5"/>
  <c r="G2093" i="5"/>
  <c r="G2951" i="5"/>
  <c r="G3970" i="5"/>
  <c r="G2045" i="5"/>
  <c r="G52" i="5"/>
  <c r="G2029" i="5"/>
  <c r="G1322" i="5"/>
  <c r="G364" i="5"/>
  <c r="G540" i="5"/>
  <c r="G1229" i="5"/>
  <c r="G1371" i="5"/>
  <c r="G1553" i="5"/>
  <c r="G3256" i="5"/>
  <c r="G3831" i="5"/>
  <c r="G1987" i="5"/>
  <c r="G3359" i="5"/>
  <c r="G548" i="5"/>
  <c r="G3555" i="5"/>
  <c r="G1180" i="5"/>
  <c r="G737" i="5"/>
  <c r="G3706" i="5"/>
  <c r="G2155" i="5"/>
  <c r="G724" i="5"/>
  <c r="G3263" i="5"/>
  <c r="G370" i="5"/>
  <c r="G556" i="5"/>
  <c r="G954" i="5"/>
  <c r="G1083" i="5"/>
  <c r="G1145" i="5"/>
  <c r="F63" i="7"/>
  <c r="F287" i="6"/>
  <c r="G1187" i="5"/>
  <c r="G1352" i="5"/>
  <c r="G4296" i="5"/>
  <c r="G304" i="5"/>
  <c r="G591" i="5"/>
  <c r="G756" i="5"/>
  <c r="G815" i="5"/>
  <c r="G1138" i="5"/>
  <c r="G3188" i="5"/>
  <c r="G3562" i="5"/>
  <c r="G3890" i="5"/>
  <c r="F113" i="6"/>
  <c r="F167" i="6"/>
  <c r="G510" i="5"/>
  <c r="G572" i="5"/>
  <c r="G64" i="5"/>
  <c r="G939" i="5"/>
  <c r="G1365" i="5"/>
  <c r="G1596" i="5"/>
  <c r="G2069" i="5"/>
  <c r="G2135" i="5"/>
  <c r="G2323" i="5"/>
  <c r="F303" i="6"/>
  <c r="G1401" i="5"/>
  <c r="G2311" i="5"/>
  <c r="G640" i="5"/>
  <c r="G864" i="5"/>
  <c r="G1513" i="5"/>
  <c r="G2742" i="5"/>
  <c r="G4174" i="5"/>
  <c r="F81" i="7"/>
  <c r="F339" i="6"/>
  <c r="G3952" i="5"/>
  <c r="G4224" i="5"/>
  <c r="G1257" i="5"/>
  <c r="G3629" i="5"/>
  <c r="G4105" i="5"/>
  <c r="F76" i="6"/>
  <c r="G1574" i="5"/>
  <c r="G1383" i="5"/>
  <c r="F268" i="6"/>
  <c r="F326" i="6"/>
  <c r="G400" i="5"/>
  <c r="G767" i="5"/>
  <c r="G930" i="5"/>
  <c r="G1521" i="5"/>
  <c r="G1749" i="5"/>
  <c r="G4365" i="5"/>
  <c r="G116" i="5"/>
  <c r="G3168" i="5"/>
  <c r="F17" i="6"/>
  <c r="F198" i="6"/>
  <c r="F309" i="6"/>
  <c r="G503" i="5"/>
  <c r="G689" i="5"/>
  <c r="G878" i="5"/>
  <c r="G1027" i="5"/>
  <c r="G2016" i="5"/>
  <c r="G2403" i="5"/>
  <c r="G3583" i="5"/>
  <c r="G4393" i="5"/>
  <c r="G2736" i="5"/>
  <c r="F186" i="6"/>
  <c r="F337" i="6"/>
  <c r="F373" i="6"/>
  <c r="G421" i="5"/>
  <c r="G1067" i="5"/>
  <c r="G1305" i="5"/>
  <c r="G1537" i="5"/>
  <c r="G1795" i="5"/>
  <c r="G3028" i="5"/>
  <c r="G1529" i="5"/>
  <c r="G2009" i="5"/>
  <c r="G2766" i="5"/>
  <c r="G3175" i="5"/>
  <c r="G3521" i="5"/>
  <c r="F203" i="6"/>
  <c r="G153" i="5"/>
  <c r="G6" i="5"/>
  <c r="G289" i="5"/>
  <c r="G705" i="5"/>
  <c r="G1649" i="5"/>
  <c r="G2241" i="5"/>
  <c r="G2376" i="5"/>
  <c r="G4022" i="5"/>
  <c r="G4129" i="5"/>
  <c r="G4252" i="5"/>
  <c r="G4494" i="5"/>
  <c r="G4569" i="5"/>
  <c r="G1738" i="5"/>
  <c r="G5108" i="5"/>
  <c r="G262" i="5"/>
  <c r="G1236" i="5"/>
  <c r="G3346" i="5"/>
  <c r="G2171" i="5"/>
  <c r="F137" i="6"/>
  <c r="F284" i="6"/>
  <c r="F82" i="7"/>
  <c r="F78" i="6"/>
  <c r="F65" i="7"/>
  <c r="G4298" i="5"/>
  <c r="G4860" i="5"/>
  <c r="G4890" i="5"/>
  <c r="F426" i="6"/>
  <c r="F158" i="6"/>
  <c r="F72" i="6"/>
  <c r="F71" i="6"/>
  <c r="G23" i="5"/>
  <c r="G267" i="5"/>
  <c r="G1567" i="5"/>
  <c r="G1995" i="5"/>
  <c r="G2343" i="5"/>
  <c r="G3143" i="5"/>
  <c r="G3366" i="5"/>
  <c r="G3775" i="5"/>
  <c r="F11" i="7"/>
  <c r="G414" i="5"/>
  <c r="G582" i="5"/>
  <c r="G805" i="5"/>
  <c r="F185" i="6"/>
  <c r="F236" i="6"/>
  <c r="F351" i="6"/>
  <c r="G1099" i="5"/>
  <c r="G1222" i="5"/>
  <c r="G1243" i="5"/>
  <c r="G2390" i="5"/>
  <c r="G3093" i="5"/>
  <c r="G4155" i="5"/>
  <c r="G3284" i="5"/>
  <c r="F7" i="6"/>
  <c r="F219" i="6"/>
  <c r="F321" i="6"/>
  <c r="G1708" i="5"/>
  <c r="G2203" i="5"/>
  <c r="G2355" i="5"/>
  <c r="G4316" i="5"/>
  <c r="G4884" i="5"/>
  <c r="F136" i="6"/>
  <c r="F402" i="6"/>
  <c r="G1037" i="5"/>
  <c r="G2195" i="5"/>
  <c r="G2299" i="5"/>
  <c r="F364" i="6"/>
  <c r="G4115" i="5"/>
  <c r="G4162" i="5"/>
  <c r="G3910" i="5"/>
  <c r="G3568" i="5"/>
  <c r="G3869" i="5"/>
  <c r="F206" i="6"/>
  <c r="G3228" i="5"/>
  <c r="G4431" i="5"/>
  <c r="G4551" i="5"/>
  <c r="F111" i="6"/>
  <c r="F365" i="6"/>
  <c r="F412" i="6"/>
  <c r="F52" i="6"/>
  <c r="G3317" i="5"/>
  <c r="G4030" i="5"/>
  <c r="G4984" i="5"/>
  <c r="F143" i="6"/>
  <c r="F270" i="6"/>
  <c r="F430" i="6"/>
  <c r="G2835" i="5"/>
  <c r="G3746" i="5"/>
  <c r="G4417" i="5"/>
  <c r="G4537" i="5"/>
  <c r="G3862" i="5"/>
  <c r="G4931" i="5"/>
  <c r="F21" i="6"/>
  <c r="F68" i="6"/>
  <c r="F295" i="6"/>
  <c r="F99" i="6"/>
  <c r="F238" i="6"/>
  <c r="G4080" i="5"/>
  <c r="F215" i="6"/>
  <c r="F253" i="6"/>
  <c r="G3210" i="5"/>
  <c r="G3918" i="5"/>
  <c r="F9" i="6"/>
  <c r="F194" i="6"/>
  <c r="F269" i="6"/>
  <c r="F156" i="6"/>
  <c r="F157" i="6"/>
  <c r="F257" i="6"/>
  <c r="F327" i="6"/>
  <c r="F88" i="6"/>
  <c r="F47" i="6"/>
  <c r="F117" i="6"/>
  <c r="F168" i="6"/>
  <c r="F237" i="6"/>
  <c r="G5143" i="5"/>
  <c r="G379" i="5"/>
  <c r="G1333" i="5"/>
  <c r="G2263" i="5"/>
  <c r="G3040" i="5"/>
  <c r="G3693" i="5"/>
  <c r="G3838" i="5"/>
  <c r="G3916" i="5"/>
  <c r="G4073" i="5"/>
  <c r="G4142" i="5"/>
  <c r="G4350" i="5"/>
  <c r="G4592" i="5"/>
  <c r="F17" i="7"/>
  <c r="G5067" i="5"/>
  <c r="G857" i="5"/>
  <c r="G1046" i="5"/>
  <c r="G1802" i="5"/>
  <c r="G3710" i="5"/>
  <c r="G3943" i="5"/>
  <c r="G4014" i="5"/>
  <c r="G4950" i="5"/>
  <c r="F27" i="6"/>
  <c r="F192" i="6"/>
  <c r="F240" i="6"/>
  <c r="F266" i="6"/>
  <c r="F347" i="6"/>
  <c r="F6" i="7"/>
  <c r="G4925" i="5"/>
  <c r="F404" i="6"/>
  <c r="G496" i="5"/>
  <c r="G1173" i="5"/>
  <c r="G2085" i="5"/>
  <c r="F68" i="7"/>
  <c r="F16" i="6"/>
  <c r="F142" i="6"/>
  <c r="F305" i="6"/>
  <c r="F349" i="6"/>
  <c r="G4765" i="5"/>
  <c r="F214" i="6"/>
  <c r="F62" i="6"/>
  <c r="F294" i="6"/>
  <c r="F415" i="6"/>
  <c r="G516" i="5"/>
  <c r="G564" i="5"/>
  <c r="G1194" i="5"/>
  <c r="G1250" i="5"/>
  <c r="G1626" i="5"/>
  <c r="G1727" i="5"/>
  <c r="G1760" i="5"/>
  <c r="G3106" i="5"/>
  <c r="G3249" i="5"/>
  <c r="G3303" i="5"/>
  <c r="G3934" i="5"/>
  <c r="G4401" i="5"/>
  <c r="G4486" i="5"/>
  <c r="G3324" i="5"/>
  <c r="G3621" i="5"/>
  <c r="G5036" i="5"/>
  <c r="G4957" i="5"/>
  <c r="G4368" i="5"/>
  <c r="G3613" i="5"/>
  <c r="G2434" i="5"/>
  <c r="G455" i="5"/>
  <c r="F188" i="6"/>
  <c r="F299" i="6"/>
  <c r="F8" i="6"/>
  <c r="F256" i="6"/>
  <c r="F89" i="6"/>
  <c r="F171" i="6"/>
  <c r="F53" i="7"/>
  <c r="F313" i="6"/>
  <c r="G4976" i="5"/>
  <c r="G4779" i="5"/>
  <c r="F41" i="7"/>
  <c r="F15" i="6"/>
  <c r="F28" i="6"/>
  <c r="F77" i="6"/>
  <c r="F107" i="6"/>
  <c r="F124" i="6"/>
  <c r="F141" i="6"/>
  <c r="F348" i="6"/>
  <c r="F379" i="6"/>
  <c r="F403" i="6"/>
  <c r="G1339" i="5"/>
  <c r="G1389" i="5"/>
  <c r="G1560" i="5"/>
  <c r="G1716" i="5"/>
  <c r="G1979" i="5"/>
  <c r="G2147" i="5"/>
  <c r="G2349" i="5"/>
  <c r="G2397" i="5"/>
  <c r="G3151" i="5"/>
  <c r="G3221" i="5"/>
  <c r="G3277" i="5"/>
  <c r="G3342" i="5"/>
  <c r="G3600" i="5"/>
  <c r="G3702" i="5"/>
  <c r="G3847" i="5"/>
  <c r="G4423" i="5"/>
  <c r="G4543" i="5"/>
  <c r="F428" i="6"/>
  <c r="G5089" i="5"/>
  <c r="F40" i="7"/>
  <c r="G5156" i="5"/>
  <c r="G5028" i="5"/>
  <c r="G4758" i="5"/>
  <c r="G5022" i="5"/>
  <c r="F51" i="7"/>
  <c r="G4791" i="5"/>
  <c r="G4824" i="5"/>
  <c r="G5150" i="5"/>
  <c r="F67" i="7"/>
  <c r="F392" i="6"/>
  <c r="G1260" i="5"/>
  <c r="G544" i="5"/>
  <c r="G372" i="5"/>
  <c r="G554" i="5"/>
  <c r="F395" i="6"/>
  <c r="F429" i="6"/>
  <c r="F241" i="6"/>
  <c r="F42" i="7"/>
  <c r="F29" i="6"/>
  <c r="G4772" i="5"/>
  <c r="G4634" i="5"/>
  <c r="G4733" i="5"/>
  <c r="G4836" i="5"/>
  <c r="G5008" i="5"/>
  <c r="F437" i="6"/>
  <c r="F445" i="6"/>
  <c r="G4919" i="5"/>
  <c r="F414" i="6"/>
  <c r="F250" i="6"/>
  <c r="F267" i="6"/>
  <c r="F285" i="6"/>
  <c r="F304" i="6"/>
  <c r="F324" i="6"/>
  <c r="F378" i="6"/>
  <c r="G4904" i="5"/>
  <c r="G5014" i="5"/>
  <c r="G5044" i="5"/>
  <c r="F385" i="6"/>
  <c r="G4943" i="5"/>
  <c r="G5102" i="5"/>
  <c r="G4751" i="5"/>
  <c r="G5082" i="5"/>
  <c r="F393" i="6"/>
  <c r="F50" i="7"/>
  <c r="G4644" i="5"/>
  <c r="G4743" i="5"/>
  <c r="G4798" i="5"/>
  <c r="F83" i="7"/>
  <c r="F449" i="6"/>
  <c r="F371" i="6"/>
  <c r="G373" i="5"/>
  <c r="G293" i="5"/>
  <c r="F32" i="6"/>
  <c r="F314" i="6"/>
  <c r="F384" i="6"/>
  <c r="G4583" i="5"/>
  <c r="F24" i="7"/>
  <c r="G4812" i="5"/>
  <c r="F444" i="6"/>
  <c r="G5137" i="5"/>
  <c r="F394" i="6"/>
  <c r="G4805" i="5"/>
  <c r="G4970" i="5"/>
  <c r="F39" i="7"/>
  <c r="F7" i="7"/>
  <c r="G4878" i="5"/>
  <c r="G5000" i="5"/>
  <c r="G5114" i="5"/>
  <c r="F66" i="7"/>
  <c r="G4937" i="5"/>
  <c r="F439" i="6"/>
  <c r="F438" i="6"/>
  <c r="F413" i="6"/>
  <c r="F454" i="6"/>
  <c r="E1184" i="8" l="1"/>
  <c r="G3440" i="5"/>
  <c r="G2157" i="5"/>
  <c r="F43" i="7"/>
  <c r="F44" i="7"/>
  <c r="F387" i="6"/>
  <c r="G3571" i="5"/>
  <c r="G4586" i="5"/>
  <c r="G1651" i="5"/>
  <c r="F30" i="6"/>
  <c r="F258" i="6"/>
  <c r="F298" i="6"/>
  <c r="F42" i="6"/>
  <c r="F328" i="6"/>
  <c r="G4337" i="5"/>
  <c r="G4886" i="5"/>
  <c r="G3645" i="5"/>
  <c r="G3344" i="5"/>
  <c r="G4478" i="5"/>
  <c r="G2466" i="5"/>
  <c r="G4169" i="5"/>
  <c r="G3799" i="5"/>
  <c r="G3801" i="5"/>
  <c r="G3895" i="5"/>
  <c r="G4168" i="5"/>
  <c r="G4945" i="5"/>
  <c r="G4236" i="5"/>
  <c r="G4373" i="5"/>
  <c r="G4109" i="5"/>
  <c r="G4206" i="5"/>
  <c r="G2562" i="5"/>
  <c r="G2133" i="5"/>
  <c r="G3758" i="5"/>
  <c r="G2864" i="5"/>
  <c r="G3375" i="5"/>
  <c r="G3785" i="5"/>
  <c r="G2674" i="5"/>
  <c r="G3781" i="5"/>
  <c r="G4051" i="5"/>
  <c r="G4880" i="5"/>
  <c r="G2578" i="5"/>
  <c r="G3608" i="5"/>
  <c r="G4230" i="5"/>
  <c r="F150" i="6"/>
  <c r="G3945" i="5"/>
  <c r="G4320" i="5"/>
  <c r="G3879" i="5"/>
  <c r="G835" i="5"/>
  <c r="G2670" i="5"/>
  <c r="G425" i="5"/>
  <c r="G4461" i="5"/>
  <c r="G4003" i="5"/>
  <c r="G4137" i="5"/>
  <c r="F81" i="6"/>
  <c r="G4801" i="5"/>
  <c r="G3893" i="5"/>
  <c r="G383" i="5"/>
  <c r="G3765" i="5"/>
  <c r="G1077" i="5"/>
  <c r="G3815" i="5"/>
  <c r="G2313" i="5"/>
  <c r="G3936" i="5"/>
  <c r="H2594" i="5"/>
  <c r="G3780" i="5"/>
  <c r="G4496" i="5"/>
  <c r="G4033" i="5"/>
  <c r="F51" i="6"/>
  <c r="G3850" i="5"/>
  <c r="G2442" i="5"/>
  <c r="G1998" i="5"/>
  <c r="G950" i="5"/>
  <c r="G4228" i="5"/>
  <c r="G4300" i="5"/>
  <c r="G4539" i="5"/>
  <c r="G4832" i="5"/>
  <c r="G4638" i="5"/>
  <c r="G5145" i="5"/>
  <c r="G999" i="5"/>
  <c r="G1140" i="5"/>
  <c r="G682" i="5"/>
  <c r="G1069" i="5"/>
  <c r="G1598" i="5"/>
  <c r="G384" i="5"/>
  <c r="G4177" i="5"/>
  <c r="G2642" i="5"/>
  <c r="G760" i="5"/>
  <c r="G2401" i="5"/>
  <c r="G1599" i="5"/>
  <c r="G2332" i="5"/>
  <c r="G942" i="5"/>
  <c r="G988" i="5"/>
  <c r="G3784" i="5"/>
  <c r="G2339" i="5"/>
  <c r="G3712" i="5"/>
  <c r="G4117" i="5"/>
  <c r="G4800" i="5"/>
  <c r="G2478" i="5"/>
  <c r="G3782" i="5"/>
  <c r="G2771" i="5"/>
  <c r="G2526" i="5"/>
  <c r="G1252" i="5"/>
  <c r="G2494" i="5"/>
  <c r="G1101" i="5"/>
  <c r="G2630" i="5"/>
  <c r="G1569" i="5"/>
  <c r="G2654" i="5"/>
  <c r="G2566" i="5"/>
  <c r="G382" i="5"/>
  <c r="G233" i="5"/>
  <c r="G4024" i="5"/>
  <c r="G2221" i="5"/>
  <c r="G3305" i="5"/>
  <c r="G1406" i="5"/>
  <c r="G321" i="5"/>
  <c r="G499" i="5"/>
  <c r="G355" i="5"/>
  <c r="G3361" i="5"/>
  <c r="G2277" i="5"/>
  <c r="G2149" i="5"/>
  <c r="G1604" i="5"/>
  <c r="G1363" i="5"/>
  <c r="G2173" i="5"/>
  <c r="G3978" i="5"/>
  <c r="G3557" i="5"/>
  <c r="G3202" i="5"/>
  <c r="G1245" i="5"/>
  <c r="G4946" i="5"/>
  <c r="G2490" i="5"/>
  <c r="G3750" i="5"/>
  <c r="G859" i="5"/>
  <c r="G2422" i="5"/>
  <c r="G3984" i="5"/>
  <c r="G986" i="5"/>
  <c r="G4140" i="5"/>
  <c r="G343" i="5"/>
  <c r="G1576" i="5"/>
  <c r="G4410" i="5"/>
  <c r="G855" i="5"/>
  <c r="G3141" i="5"/>
  <c r="G918" i="5"/>
  <c r="G4053" i="5"/>
  <c r="G1231" i="5"/>
  <c r="G1093" i="5"/>
  <c r="G989" i="5"/>
  <c r="G4531" i="5"/>
  <c r="G3623" i="5"/>
  <c r="F138" i="6"/>
  <c r="G2127" i="5"/>
  <c r="G3104" i="5"/>
  <c r="G3914" i="5"/>
  <c r="G4220" i="5"/>
  <c r="G911" i="5"/>
  <c r="G2181" i="5"/>
  <c r="G3190" i="5"/>
  <c r="G4032" i="5"/>
  <c r="G4107" i="5"/>
  <c r="G3667" i="5"/>
  <c r="G4172" i="5"/>
  <c r="G3921" i="5"/>
  <c r="G919" i="5"/>
  <c r="G4367" i="5"/>
  <c r="G1154" i="5"/>
  <c r="G956" i="5"/>
  <c r="G244" i="5"/>
  <c r="G2095" i="5"/>
  <c r="G342" i="5"/>
  <c r="G1266" i="5"/>
  <c r="G542" i="5"/>
  <c r="G1019" i="5"/>
  <c r="G73" i="5"/>
  <c r="G758" i="5"/>
  <c r="G4221" i="5"/>
  <c r="G388" i="5"/>
  <c r="G243" i="5"/>
  <c r="G328" i="5"/>
  <c r="G366" i="5"/>
  <c r="H2626" i="5"/>
  <c r="E577" i="8" s="1"/>
  <c r="G1564" i="5"/>
  <c r="G759" i="5"/>
  <c r="G669" i="5"/>
  <c r="G475" i="5"/>
  <c r="G259" i="5"/>
  <c r="G917" i="5"/>
  <c r="G245" i="5"/>
  <c r="G498" i="5"/>
  <c r="G389" i="5"/>
  <c r="G514" i="5"/>
  <c r="G962" i="5"/>
  <c r="H2474" i="5"/>
  <c r="G1029" i="5"/>
  <c r="H2574" i="5"/>
  <c r="G844" i="5"/>
  <c r="G1164" i="5"/>
  <c r="G294" i="5"/>
  <c r="G1628" i="5"/>
  <c r="G916" i="5"/>
  <c r="G5075" i="5"/>
  <c r="G1280" i="5"/>
  <c r="G253" i="5"/>
  <c r="G331" i="5"/>
  <c r="G1605" i="5"/>
  <c r="G2374" i="5"/>
  <c r="G3066" i="5"/>
  <c r="H2450" i="5"/>
  <c r="E421" i="8" s="1"/>
  <c r="G4953" i="5"/>
  <c r="H2526" i="5"/>
  <c r="G2458" i="5"/>
  <c r="H2442" i="5"/>
  <c r="E419" i="8" s="1"/>
  <c r="G2849" i="5"/>
  <c r="H2578" i="5"/>
  <c r="E568" i="8" s="1"/>
  <c r="H2518" i="5"/>
  <c r="G3319" i="5"/>
  <c r="G602" i="5"/>
  <c r="G1583" i="5"/>
  <c r="H233" i="5"/>
  <c r="E54" i="8" s="1"/>
  <c r="G374" i="5"/>
  <c r="F114" i="6"/>
  <c r="G4826" i="5"/>
  <c r="G574" i="5"/>
  <c r="G1740" i="5"/>
  <c r="H2590" i="5"/>
  <c r="F431" i="6"/>
  <c r="G4522" i="5"/>
  <c r="G4449" i="5"/>
  <c r="F341" i="6"/>
  <c r="G5139" i="5"/>
  <c r="F108" i="6"/>
  <c r="F50" i="6"/>
  <c r="F312" i="6"/>
  <c r="H2670" i="5"/>
  <c r="E593" i="8" s="1"/>
  <c r="G1806" i="5"/>
  <c r="G3730" i="5"/>
  <c r="G1751" i="5"/>
  <c r="G630" i="5"/>
  <c r="G5098" i="5"/>
  <c r="G2934" i="5"/>
  <c r="G776" i="5"/>
  <c r="G1675" i="5"/>
  <c r="H2586" i="5"/>
  <c r="G4016" i="5"/>
  <c r="G612" i="5"/>
  <c r="G1977" i="5"/>
  <c r="H2502" i="5"/>
  <c r="G4263" i="5"/>
  <c r="G4042" i="5"/>
  <c r="G4782" i="5"/>
  <c r="G1786" i="5"/>
  <c r="H2538" i="5"/>
  <c r="G4821" i="5"/>
  <c r="G4594" i="5"/>
  <c r="G423" i="5"/>
  <c r="H2546" i="5"/>
  <c r="E516" i="8" s="1"/>
  <c r="H2658" i="5"/>
  <c r="G3519" i="5"/>
  <c r="G1308" i="5"/>
  <c r="G2011" i="5"/>
  <c r="G2071" i="5"/>
  <c r="G4226" i="5"/>
  <c r="G4612" i="5"/>
  <c r="G4667" i="5"/>
  <c r="H2554" i="5"/>
  <c r="G1210" i="5"/>
  <c r="H2622" i="5"/>
  <c r="G1704" i="5"/>
  <c r="G4229" i="5"/>
  <c r="G2803" i="5"/>
  <c r="G643" i="5"/>
  <c r="G1686" i="5"/>
  <c r="G2345" i="5"/>
  <c r="G1729" i="5"/>
  <c r="G3849" i="5"/>
  <c r="G424" i="5"/>
  <c r="G4838" i="5"/>
  <c r="G1324" i="5"/>
  <c r="G1303" i="5"/>
  <c r="G1836" i="5"/>
  <c r="G4789" i="5"/>
  <c r="G1443" i="5"/>
  <c r="G2380" i="5"/>
  <c r="G1329" i="5"/>
  <c r="G486" i="5"/>
  <c r="G1039" i="5"/>
  <c r="G4761" i="5"/>
  <c r="G977" i="5"/>
  <c r="G692" i="5"/>
  <c r="G1961" i="5"/>
  <c r="G1735" i="5"/>
  <c r="G570" i="5"/>
  <c r="G2166" i="5"/>
  <c r="G2970" i="5"/>
  <c r="G1385" i="5"/>
  <c r="G741" i="5"/>
  <c r="G1635" i="5"/>
  <c r="G2167" i="5"/>
  <c r="G2347" i="5"/>
  <c r="G649" i="5"/>
  <c r="G1355" i="5"/>
  <c r="G5058" i="5"/>
  <c r="G176" i="5"/>
  <c r="G1847" i="5"/>
  <c r="G1475" i="5"/>
  <c r="G995" i="5"/>
  <c r="G1556" i="5"/>
  <c r="G2408" i="5"/>
  <c r="G1524" i="5"/>
  <c r="G1640" i="5"/>
  <c r="G1823" i="5"/>
  <c r="G2072" i="5"/>
  <c r="G1889" i="5"/>
  <c r="G3817" i="5"/>
  <c r="G4514" i="5"/>
  <c r="G4571" i="5"/>
  <c r="G193" i="5"/>
  <c r="G356" i="5"/>
  <c r="G762" i="5"/>
  <c r="G1102" i="5"/>
  <c r="G1184" i="5"/>
  <c r="G207" i="5"/>
  <c r="G313" i="5"/>
  <c r="G1261" i="5"/>
  <c r="G575" i="5"/>
  <c r="G1233" i="5"/>
  <c r="G1629" i="5"/>
  <c r="G1866" i="5"/>
  <c r="G448" i="5"/>
  <c r="G693" i="5"/>
  <c r="G880" i="5"/>
  <c r="G984" i="5"/>
  <c r="G1410" i="5"/>
  <c r="G1630" i="5"/>
  <c r="G686" i="5"/>
  <c r="G1096" i="5"/>
  <c r="G1240" i="5"/>
  <c r="G123" i="5"/>
  <c r="G211" i="5"/>
  <c r="G627" i="5"/>
  <c r="G1120" i="5"/>
  <c r="G1924" i="5"/>
  <c r="G2213" i="5"/>
  <c r="G21" i="5"/>
  <c r="G5135" i="5"/>
  <c r="G367" i="5"/>
  <c r="G1149" i="5"/>
  <c r="G1199" i="5"/>
  <c r="G1895" i="5"/>
  <c r="G1698" i="5"/>
  <c r="G1914" i="5"/>
  <c r="G2143" i="5"/>
  <c r="G2393" i="5"/>
  <c r="G310" i="5"/>
  <c r="G1227" i="5"/>
  <c r="G2056" i="5"/>
  <c r="G2225" i="5"/>
  <c r="G945" i="5"/>
  <c r="G1606" i="5"/>
  <c r="G2132" i="5"/>
  <c r="G2314" i="5"/>
  <c r="H2534" i="5"/>
  <c r="G2790" i="5"/>
  <c r="G802" i="5"/>
  <c r="G1853" i="5"/>
  <c r="G2327" i="5"/>
  <c r="G1330" i="5"/>
  <c r="G2387" i="5"/>
  <c r="H2470" i="5"/>
  <c r="G1854" i="5"/>
  <c r="G2151" i="5"/>
  <c r="G2307" i="5"/>
  <c r="G1647" i="5"/>
  <c r="G1778" i="5"/>
  <c r="G2388" i="5"/>
  <c r="G2948" i="5"/>
  <c r="G2650" i="5"/>
  <c r="G2933" i="5"/>
  <c r="G3518" i="5"/>
  <c r="G3624" i="5"/>
  <c r="G4249" i="5"/>
  <c r="G4553" i="5"/>
  <c r="G2975" i="5"/>
  <c r="G3109" i="5"/>
  <c r="G3116" i="5"/>
  <c r="G3293" i="5"/>
  <c r="G3030" i="5"/>
  <c r="G3260" i="5"/>
  <c r="H2530" i="5"/>
  <c r="E512" i="8" s="1"/>
  <c r="G3268" i="5"/>
  <c r="G3866" i="5"/>
  <c r="G4076" i="5"/>
  <c r="G4340" i="5"/>
  <c r="G3095" i="5"/>
  <c r="G3246" i="5"/>
  <c r="H2510" i="5"/>
  <c r="G2956" i="5"/>
  <c r="G3328" i="5"/>
  <c r="G3552" i="5"/>
  <c r="G3787" i="5"/>
  <c r="G4009" i="5"/>
  <c r="G3191" i="5"/>
  <c r="G3594" i="5"/>
  <c r="G3698" i="5"/>
  <c r="G4147" i="5"/>
  <c r="G4532" i="5"/>
  <c r="G4783" i="5"/>
  <c r="G3804" i="5"/>
  <c r="G3997" i="5"/>
  <c r="G4180" i="5"/>
  <c r="G4523" i="5"/>
  <c r="G4642" i="5"/>
  <c r="G4839" i="5"/>
  <c r="G4980" i="5"/>
  <c r="G5141" i="5"/>
  <c r="G3968" i="5"/>
  <c r="G4248" i="5"/>
  <c r="G4572" i="5"/>
  <c r="G4784" i="5"/>
  <c r="G3829" i="5"/>
  <c r="G4259" i="5"/>
  <c r="G4273" i="5"/>
  <c r="G3697" i="5"/>
  <c r="G4755" i="5"/>
  <c r="G4035" i="5"/>
  <c r="G5048" i="5"/>
  <c r="G4651" i="5"/>
  <c r="G5106" i="5"/>
  <c r="G4656" i="5"/>
  <c r="G4740" i="5"/>
  <c r="G4775" i="5"/>
  <c r="G5154" i="5"/>
  <c r="G270" i="5"/>
  <c r="G2245" i="5"/>
  <c r="G109" i="5"/>
  <c r="G862" i="5"/>
  <c r="G2407" i="5"/>
  <c r="G1891" i="5"/>
  <c r="G3646" i="5"/>
  <c r="G2838" i="5"/>
  <c r="G2981" i="5"/>
  <c r="G3122" i="5"/>
  <c r="G3357" i="5"/>
  <c r="G2103" i="5"/>
  <c r="G2745" i="5"/>
  <c r="G3768" i="5"/>
  <c r="G4061" i="5"/>
  <c r="G3275" i="5"/>
  <c r="G2802" i="5"/>
  <c r="G3335" i="5"/>
  <c r="G3958" i="5"/>
  <c r="G4492" i="5"/>
  <c r="G2928" i="5"/>
  <c r="G3129" i="5"/>
  <c r="G3261" i="5"/>
  <c r="G3139" i="5"/>
  <c r="G3415" i="5"/>
  <c r="G3070" i="5"/>
  <c r="G3218" i="5"/>
  <c r="G3604" i="5"/>
  <c r="G3844" i="5"/>
  <c r="G4328" i="5"/>
  <c r="G4463" i="5"/>
  <c r="G3489" i="5"/>
  <c r="G3633" i="5"/>
  <c r="G4102" i="5"/>
  <c r="G3828" i="5"/>
  <c r="G4203" i="5"/>
  <c r="G4398" i="5"/>
  <c r="G4652" i="5"/>
  <c r="G4845" i="5"/>
  <c r="G4996" i="5"/>
  <c r="G5148" i="5"/>
  <c r="G3979" i="5"/>
  <c r="G4620" i="5"/>
  <c r="G4671" i="5"/>
  <c r="G3802" i="5"/>
  <c r="G4777" i="5"/>
  <c r="G4988" i="5"/>
  <c r="G3247" i="5"/>
  <c r="G3488" i="5"/>
  <c r="G4513" i="5"/>
  <c r="G5025" i="5"/>
  <c r="G4727" i="5"/>
  <c r="G4907" i="5"/>
  <c r="G3419" i="5"/>
  <c r="G4768" i="5"/>
  <c r="G5040" i="5"/>
  <c r="G4695" i="5"/>
  <c r="G5032" i="5"/>
  <c r="G4902" i="5"/>
  <c r="G937" i="5"/>
  <c r="G528" i="5"/>
  <c r="G1652" i="5"/>
  <c r="G2744" i="5"/>
  <c r="G3219" i="5"/>
  <c r="G3329" i="5"/>
  <c r="G5112" i="5"/>
  <c r="G84" i="5"/>
  <c r="G280" i="5"/>
  <c r="G391" i="5"/>
  <c r="G636" i="5"/>
  <c r="G782" i="5"/>
  <c r="G978" i="5"/>
  <c r="G1112" i="5"/>
  <c r="G242" i="5"/>
  <c r="G333" i="5"/>
  <c r="G431" i="5"/>
  <c r="G971" i="5"/>
  <c r="G1262" i="5"/>
  <c r="G1360" i="5"/>
  <c r="G1540" i="5"/>
  <c r="G1705" i="5"/>
  <c r="G1934" i="5"/>
  <c r="G1501" i="5"/>
  <c r="G1064" i="5"/>
  <c r="G1274" i="5"/>
  <c r="G1549" i="5"/>
  <c r="G501" i="5"/>
  <c r="G1268" i="5"/>
  <c r="G1925" i="5"/>
  <c r="G397" i="5"/>
  <c r="G527" i="5"/>
  <c r="G1725" i="5"/>
  <c r="G1819" i="5"/>
  <c r="G546" i="5"/>
  <c r="G873" i="5"/>
  <c r="G1411" i="5"/>
  <c r="G1646" i="5"/>
  <c r="G1935" i="5"/>
  <c r="G2113" i="5"/>
  <c r="G1791" i="5"/>
  <c r="G1571" i="5"/>
  <c r="G1746" i="5"/>
  <c r="G1516" i="5"/>
  <c r="G1860" i="5"/>
  <c r="G1950" i="5"/>
  <c r="G2150" i="5"/>
  <c r="G2363" i="5"/>
  <c r="G2291" i="5"/>
  <c r="G2614" i="5"/>
  <c r="G2126" i="5"/>
  <c r="G2413" i="5"/>
  <c r="G2032" i="5"/>
  <c r="G2333" i="5"/>
  <c r="G2031" i="5"/>
  <c r="G3240" i="5"/>
  <c r="G3538" i="5"/>
  <c r="G4308" i="5"/>
  <c r="G4453" i="5"/>
  <c r="G2879" i="5"/>
  <c r="G3000" i="5"/>
  <c r="G3148" i="5"/>
  <c r="G2763" i="5"/>
  <c r="G3307" i="5"/>
  <c r="G3580" i="5"/>
  <c r="G1867" i="5"/>
  <c r="G3065" i="5"/>
  <c r="G3135" i="5"/>
  <c r="G3437" i="5"/>
  <c r="G3581" i="5"/>
  <c r="G4247" i="5"/>
  <c r="G4389" i="5"/>
  <c r="G2335" i="5"/>
  <c r="G2775" i="5"/>
  <c r="G2943" i="5"/>
  <c r="G2758" i="5"/>
  <c r="G3336" i="5"/>
  <c r="G3462" i="5"/>
  <c r="G2823" i="5"/>
  <c r="G3108" i="5"/>
  <c r="G3397" i="5"/>
  <c r="G4238" i="5"/>
  <c r="G3512" i="5"/>
  <c r="G3949" i="5"/>
  <c r="G4414" i="5"/>
  <c r="G3560" i="5"/>
  <c r="G4344" i="5"/>
  <c r="G4428" i="5"/>
  <c r="G3147" i="5"/>
  <c r="G3611" i="5"/>
  <c r="G3688" i="5"/>
  <c r="G4388" i="5"/>
  <c r="G4479" i="5"/>
  <c r="G4590" i="5"/>
  <c r="G4624" i="5"/>
  <c r="G4809" i="5"/>
  <c r="G3115" i="5"/>
  <c r="G3980" i="5"/>
  <c r="G4480" i="5"/>
  <c r="G3625" i="5"/>
  <c r="G4159" i="5"/>
  <c r="G5004" i="5"/>
  <c r="G3511" i="5"/>
  <c r="G3598" i="5"/>
  <c r="G5099" i="5"/>
  <c r="G4895" i="5"/>
  <c r="G5110" i="5"/>
  <c r="G4888" i="5"/>
  <c r="G5050" i="5"/>
  <c r="G1658" i="5"/>
  <c r="G789" i="5"/>
  <c r="G1617" i="5"/>
  <c r="G1818" i="5"/>
  <c r="G2144" i="5"/>
  <c r="H2550" i="5"/>
  <c r="G2812" i="5"/>
  <c r="G2080" i="5"/>
  <c r="G2131" i="5"/>
  <c r="G90" i="5"/>
  <c r="G467" i="5"/>
  <c r="G1706" i="5"/>
  <c r="G412" i="5"/>
  <c r="G114" i="5"/>
  <c r="G1005" i="5"/>
  <c r="G1373" i="5"/>
  <c r="G156" i="5"/>
  <c r="G1399" i="5"/>
  <c r="G1119" i="5"/>
  <c r="G4995" i="5"/>
  <c r="G269" i="5"/>
  <c r="G5158" i="5"/>
  <c r="F31" i="6"/>
  <c r="G94" i="5"/>
  <c r="G287" i="5"/>
  <c r="G436" i="5"/>
  <c r="G694" i="5"/>
  <c r="G831" i="5"/>
  <c r="G1131" i="5"/>
  <c r="G57" i="5"/>
  <c r="G430" i="5"/>
  <c r="G701" i="5"/>
  <c r="G906" i="5"/>
  <c r="G1088" i="5"/>
  <c r="G1185" i="5"/>
  <c r="G1309" i="5"/>
  <c r="G141" i="5"/>
  <c r="G443" i="5"/>
  <c r="G983" i="5"/>
  <c r="G1136" i="5"/>
  <c r="G1289" i="5"/>
  <c r="G1380" i="5"/>
  <c r="G1557" i="5"/>
  <c r="G1777" i="5"/>
  <c r="G1967" i="5"/>
  <c r="G473" i="5"/>
  <c r="G621" i="5"/>
  <c r="G728" i="5"/>
  <c r="G830" i="5"/>
  <c r="G1296" i="5"/>
  <c r="G428" i="5"/>
  <c r="G861" i="5"/>
  <c r="G1198" i="5"/>
  <c r="G1636" i="5"/>
  <c r="G2295" i="5"/>
  <c r="H2462" i="5"/>
  <c r="G132" i="5"/>
  <c r="G1170" i="5"/>
  <c r="G1293" i="5"/>
  <c r="G162" i="5"/>
  <c r="G1403" i="5"/>
  <c r="G1962" i="5"/>
  <c r="G145" i="5"/>
  <c r="G1044" i="5"/>
  <c r="G1736" i="5"/>
  <c r="G1834" i="5"/>
  <c r="G2006" i="5"/>
  <c r="G2237" i="5"/>
  <c r="G552" i="5"/>
  <c r="G567" i="5"/>
  <c r="G1724" i="5"/>
  <c r="G1946" i="5"/>
  <c r="G2158" i="5"/>
  <c r="G2271" i="5"/>
  <c r="G1674" i="5"/>
  <c r="G1969" i="5"/>
  <c r="G2358" i="5"/>
  <c r="H2582" i="5"/>
  <c r="E569" i="8" s="1"/>
  <c r="G1901" i="5"/>
  <c r="G2159" i="5"/>
  <c r="G1391" i="5"/>
  <c r="G1968" i="5"/>
  <c r="G2097" i="5"/>
  <c r="G2303" i="5"/>
  <c r="G1669" i="5"/>
  <c r="G2007" i="5"/>
  <c r="G2279" i="5"/>
  <c r="H2506" i="5"/>
  <c r="G1645" i="5"/>
  <c r="G2065" i="5"/>
  <c r="G2190" i="5"/>
  <c r="G2751" i="5"/>
  <c r="G2759" i="5"/>
  <c r="G2995" i="5"/>
  <c r="G3673" i="5"/>
  <c r="G3974" i="5"/>
  <c r="G3026" i="5"/>
  <c r="G3170" i="5"/>
  <c r="G3405" i="5"/>
  <c r="G3321" i="5"/>
  <c r="G4097" i="5"/>
  <c r="G2797" i="5"/>
  <c r="G3287" i="5"/>
  <c r="G3383" i="5"/>
  <c r="G3671" i="5"/>
  <c r="G3822" i="5"/>
  <c r="G4282" i="5"/>
  <c r="G4548" i="5"/>
  <c r="G2807" i="5"/>
  <c r="G3156" i="5"/>
  <c r="G2696" i="5"/>
  <c r="G3672" i="5"/>
  <c r="G3881" i="5"/>
  <c r="G4027" i="5"/>
  <c r="G4440" i="5"/>
  <c r="G4578" i="5"/>
  <c r="G4631" i="5"/>
  <c r="G3564" i="5"/>
  <c r="G3845" i="5"/>
  <c r="G4711" i="5"/>
  <c r="G5049" i="5"/>
  <c r="G3882" i="5"/>
  <c r="G4118" i="5"/>
  <c r="G4272" i="5"/>
  <c r="G4833" i="5"/>
  <c r="G3061" i="5"/>
  <c r="G3900" i="5"/>
  <c r="G4038" i="5"/>
  <c r="G4302" i="5"/>
  <c r="G3130" i="5"/>
  <c r="G4834" i="5"/>
  <c r="G5041" i="5"/>
  <c r="G4981" i="5"/>
  <c r="G4846" i="5"/>
  <c r="G5105" i="5"/>
  <c r="G4641" i="5"/>
  <c r="G5019" i="5"/>
  <c r="G4923" i="5"/>
  <c r="G5086" i="5"/>
  <c r="G5070" i="5"/>
  <c r="G1163" i="5"/>
  <c r="G1295" i="5"/>
  <c r="G742" i="5"/>
  <c r="G1191" i="5"/>
  <c r="G2392" i="5"/>
  <c r="G702" i="5"/>
  <c r="G1386" i="5"/>
  <c r="G521" i="5"/>
  <c r="G1347" i="5"/>
  <c r="G146" i="5"/>
  <c r="G1684" i="5"/>
  <c r="G2400" i="5"/>
  <c r="G1951" i="5"/>
  <c r="G2319" i="5"/>
  <c r="F126" i="6"/>
  <c r="G100" i="5"/>
  <c r="G921" i="5"/>
  <c r="G1103" i="5"/>
  <c r="G1316" i="5"/>
  <c r="G155" i="5"/>
  <c r="G278" i="5"/>
  <c r="G472" i="5"/>
  <c r="G1015" i="5"/>
  <c r="G1248" i="5"/>
  <c r="G1584" i="5"/>
  <c r="G586" i="5"/>
  <c r="G1206" i="5"/>
  <c r="G1342" i="5"/>
  <c r="G2315" i="5"/>
  <c r="G1043" i="5"/>
  <c r="G1425" i="5"/>
  <c r="G545" i="5"/>
  <c r="G867" i="5"/>
  <c r="G1079" i="5"/>
  <c r="G1343" i="5"/>
  <c r="G1763" i="5"/>
  <c r="G1051" i="5"/>
  <c r="G1374" i="5"/>
  <c r="G1572" i="5"/>
  <c r="G1772" i="5"/>
  <c r="G2064" i="5"/>
  <c r="G2270" i="5"/>
  <c r="G675" i="5"/>
  <c r="G398" i="5"/>
  <c r="G594" i="5"/>
  <c r="G964" i="5"/>
  <c r="G1348" i="5"/>
  <c r="G1758" i="5"/>
  <c r="G1865" i="5"/>
  <c r="G2000" i="5"/>
  <c r="G1072" i="5"/>
  <c r="G2726" i="5"/>
  <c r="G1913" i="5"/>
  <c r="G2282" i="5"/>
  <c r="G2666" i="5"/>
  <c r="G1269" i="5"/>
  <c r="G1811" i="5"/>
  <c r="G2020" i="5"/>
  <c r="G1757" i="5"/>
  <c r="G1848" i="5"/>
  <c r="G2021" i="5"/>
  <c r="G2238" i="5"/>
  <c r="G2226" i="5"/>
  <c r="G2239" i="5"/>
  <c r="G2769" i="5"/>
  <c r="G3060" i="5"/>
  <c r="G3378" i="5"/>
  <c r="G3576" i="5"/>
  <c r="G4338" i="5"/>
  <c r="G4462" i="5"/>
  <c r="G3192" i="5"/>
  <c r="G2980" i="5"/>
  <c r="G3647" i="5"/>
  <c r="G2818" i="5"/>
  <c r="G3155" i="5"/>
  <c r="G3300" i="5"/>
  <c r="G2822" i="5"/>
  <c r="G3461" i="5"/>
  <c r="G3675" i="5"/>
  <c r="G4291" i="5"/>
  <c r="G4399" i="5"/>
  <c r="G4573" i="5"/>
  <c r="G3005" i="5"/>
  <c r="G2768" i="5"/>
  <c r="G3353" i="5"/>
  <c r="G3676" i="5"/>
  <c r="G3816" i="5"/>
  <c r="G4113" i="5"/>
  <c r="G4257" i="5"/>
  <c r="G4355" i="5"/>
  <c r="G4506" i="5"/>
  <c r="G4163" i="5"/>
  <c r="G4304" i="5"/>
  <c r="G4687" i="5"/>
  <c r="G3940" i="5"/>
  <c r="G4356" i="5"/>
  <c r="G4450" i="5"/>
  <c r="G4915" i="5"/>
  <c r="G5087" i="5"/>
  <c r="G3435" i="5"/>
  <c r="G3634" i="5"/>
  <c r="G4519" i="5"/>
  <c r="G4632" i="5"/>
  <c r="G4866" i="5"/>
  <c r="G3743" i="5"/>
  <c r="G3941" i="5"/>
  <c r="G4181" i="5"/>
  <c r="G4439" i="5"/>
  <c r="G3836" i="5"/>
  <c r="G4119" i="5"/>
  <c r="G4314" i="5"/>
  <c r="G3833" i="5"/>
  <c r="G4852" i="5"/>
  <c r="G5073" i="5"/>
  <c r="G3213" i="5"/>
  <c r="G3880" i="5"/>
  <c r="G4914" i="5"/>
  <c r="G4850" i="5"/>
  <c r="G5140" i="5"/>
  <c r="G4657" i="5"/>
  <c r="G4887" i="5"/>
  <c r="G5026" i="5"/>
  <c r="G5131" i="5"/>
  <c r="G5153" i="5"/>
  <c r="G1089" i="5"/>
  <c r="G1653" i="5"/>
  <c r="G888" i="5"/>
  <c r="G1441" i="5"/>
  <c r="G803" i="5"/>
  <c r="G1048" i="5"/>
  <c r="G241" i="5"/>
  <c r="G2063" i="5"/>
  <c r="G1945" i="5"/>
  <c r="G2125" i="5"/>
  <c r="G2359" i="5"/>
  <c r="G4301" i="5"/>
  <c r="G842" i="5"/>
  <c r="G1016" i="5"/>
  <c r="G1142" i="5"/>
  <c r="G85" i="5"/>
  <c r="G277" i="5"/>
  <c r="G437" i="5"/>
  <c r="G1011" i="5"/>
  <c r="G1790" i="5"/>
  <c r="G1999" i="5"/>
  <c r="G508" i="5"/>
  <c r="G635" i="5"/>
  <c r="G734" i="5"/>
  <c r="G838" i="5"/>
  <c r="G1541" i="5"/>
  <c r="G771" i="5"/>
  <c r="G89" i="5"/>
  <c r="G279" i="5"/>
  <c r="G202" i="5"/>
  <c r="G312" i="5"/>
  <c r="G712" i="5"/>
  <c r="G854" i="5"/>
  <c r="G1035" i="5"/>
  <c r="G1155" i="5"/>
  <c r="G127" i="5"/>
  <c r="G284" i="5"/>
  <c r="G442" i="5"/>
  <c r="G721" i="5"/>
  <c r="G936" i="5"/>
  <c r="G1113" i="5"/>
  <c r="G1219" i="5"/>
  <c r="G1379" i="5"/>
  <c r="G167" i="5"/>
  <c r="G285" i="5"/>
  <c r="G676" i="5"/>
  <c r="G787" i="5"/>
  <c r="G1440" i="5"/>
  <c r="G99" i="5"/>
  <c r="G311" i="5"/>
  <c r="G853" i="5"/>
  <c r="G1025" i="5"/>
  <c r="G1125" i="5"/>
  <c r="G1205" i="5"/>
  <c r="G1361" i="5"/>
  <c r="G727" i="5"/>
  <c r="G946" i="5"/>
  <c r="G1392" i="5"/>
  <c r="G1611" i="5"/>
  <c r="G965" i="5"/>
  <c r="G194" i="5"/>
  <c r="G468" i="5"/>
  <c r="G1762" i="5"/>
  <c r="G2104" i="5"/>
  <c r="G2334" i="5"/>
  <c r="G709" i="5"/>
  <c r="G1050" i="5"/>
  <c r="G1455" i="5"/>
  <c r="G95" i="5"/>
  <c r="G466" i="5"/>
  <c r="G551" i="5"/>
  <c r="G628" i="5"/>
  <c r="G927" i="5"/>
  <c r="G67" i="5"/>
  <c r="G713" i="5"/>
  <c r="G753" i="5"/>
  <c r="G994" i="5"/>
  <c r="G1062" i="5"/>
  <c r="G1218" i="5"/>
  <c r="G1282" i="5"/>
  <c r="G1426" i="5"/>
  <c r="G1878" i="5"/>
  <c r="G2105" i="5"/>
  <c r="G377" i="5"/>
  <c r="G976" i="5"/>
  <c r="G1776" i="5"/>
  <c r="G1890" i="5"/>
  <c r="G1247" i="5"/>
  <c r="G1814" i="5"/>
  <c r="G1989" i="5"/>
  <c r="G2096" i="5"/>
  <c r="G2191" i="5"/>
  <c r="G2740" i="5"/>
  <c r="G928" i="5"/>
  <c r="G1670" i="5"/>
  <c r="G2057" i="5"/>
  <c r="G2294" i="5"/>
  <c r="G2412" i="5"/>
  <c r="G2732" i="5"/>
  <c r="G1413" i="5"/>
  <c r="G2542" i="5"/>
  <c r="G2267" i="5"/>
  <c r="G2368" i="5"/>
  <c r="G2278" i="5"/>
  <c r="G2837" i="5"/>
  <c r="G3101" i="5"/>
  <c r="G3281" i="5"/>
  <c r="G3388" i="5"/>
  <c r="G4002" i="5"/>
  <c r="G4361" i="5"/>
  <c r="G4473" i="5"/>
  <c r="G2346" i="5"/>
  <c r="G2752" i="5"/>
  <c r="G3416" i="5"/>
  <c r="G3080" i="5"/>
  <c r="G3267" i="5"/>
  <c r="G3382" i="5"/>
  <c r="G3931" i="5"/>
  <c r="G3203" i="5"/>
  <c r="G2827" i="5"/>
  <c r="G2871" i="5"/>
  <c r="G3018" i="5"/>
  <c r="G3294" i="5"/>
  <c r="G3348" i="5"/>
  <c r="G3920" i="5"/>
  <c r="G4303" i="5"/>
  <c r="G4589" i="5"/>
  <c r="G2813" i="5"/>
  <c r="G3031" i="5"/>
  <c r="G3197" i="5"/>
  <c r="G3377" i="5"/>
  <c r="G3517" i="5"/>
  <c r="G3835" i="5"/>
  <c r="G3959" i="5"/>
  <c r="G4139" i="5"/>
  <c r="G3559" i="5"/>
  <c r="G3803" i="5"/>
  <c r="G4377" i="5"/>
  <c r="G4507" i="5"/>
  <c r="G2690" i="5"/>
  <c r="G3364" i="5"/>
  <c r="G3967" i="5"/>
  <c r="G4036" i="5"/>
  <c r="G4339" i="5"/>
  <c r="G4258" i="5"/>
  <c r="G4934" i="5"/>
  <c r="G4313" i="5"/>
  <c r="G4753" i="5"/>
  <c r="G4892" i="5"/>
  <c r="G3198" i="5"/>
  <c r="G3805" i="5"/>
  <c r="G4345" i="5"/>
  <c r="G4465" i="5"/>
  <c r="G3740" i="5"/>
  <c r="G3883" i="5"/>
  <c r="G4549" i="5"/>
  <c r="G4858" i="5"/>
  <c r="G3232" i="5"/>
  <c r="G3884" i="5"/>
  <c r="G4250" i="5"/>
  <c r="G4595" i="5"/>
  <c r="G4940" i="5"/>
  <c r="G5160" i="5"/>
  <c r="G4796" i="5"/>
  <c r="G4666" i="5"/>
  <c r="G4900" i="5"/>
  <c r="G5042" i="5"/>
  <c r="G4916" i="5"/>
  <c r="G4990" i="5"/>
  <c r="G5069" i="5"/>
  <c r="G4827" i="5"/>
  <c r="G4973" i="5"/>
  <c r="G5059" i="5"/>
  <c r="G225" i="5"/>
  <c r="G843" i="5"/>
  <c r="G1288" i="5"/>
  <c r="G733" i="5"/>
  <c r="G1525" i="5"/>
  <c r="G1877" i="5"/>
  <c r="G80" i="5"/>
  <c r="G168" i="5"/>
  <c r="G390" i="5"/>
  <c r="G334" i="5"/>
  <c r="G1354" i="5"/>
  <c r="G216" i="5"/>
  <c r="G272" i="5"/>
  <c r="G1398" i="5"/>
  <c r="G1281" i="5"/>
  <c r="G1623" i="5"/>
  <c r="G507" i="5"/>
  <c r="G687" i="5"/>
  <c r="G1585" i="5"/>
  <c r="G2033" i="5"/>
  <c r="G345" i="5"/>
  <c r="G1034" i="5"/>
  <c r="G1130" i="5"/>
  <c r="G1381" i="5"/>
  <c r="G2328" i="5"/>
  <c r="G1896" i="5"/>
  <c r="G2306" i="5"/>
  <c r="G1458" i="5"/>
  <c r="G1843" i="5"/>
  <c r="G1902" i="5"/>
  <c r="G2199" i="5"/>
  <c r="H2558" i="5"/>
  <c r="G1341" i="5"/>
  <c r="G2842" i="5"/>
  <c r="G2960" i="5"/>
  <c r="G3274" i="5"/>
  <c r="G3282" i="5"/>
  <c r="G3436" i="5"/>
  <c r="G3674" i="5"/>
  <c r="G4192" i="5"/>
  <c r="G3393" i="5"/>
  <c r="G3308" i="5"/>
  <c r="G3543" i="5"/>
  <c r="G3769" i="5"/>
  <c r="G4451" i="5"/>
  <c r="G4596" i="5"/>
  <c r="G2817" i="5"/>
  <c r="G3204" i="5"/>
  <c r="G2352" i="5"/>
  <c r="G2887" i="5"/>
  <c r="G2990" i="5"/>
  <c r="G3239" i="5"/>
  <c r="G3534" i="5"/>
  <c r="G3687" i="5"/>
  <c r="G3867" i="5"/>
  <c r="G2961" i="5"/>
  <c r="G4741" i="5"/>
  <c r="G3001" i="5"/>
  <c r="G4085" i="5"/>
  <c r="G4762" i="5"/>
  <c r="G4962" i="5"/>
  <c r="G3071" i="5"/>
  <c r="G3760" i="5"/>
  <c r="G4028" i="5"/>
  <c r="G3565" i="5"/>
  <c r="G4371" i="5"/>
  <c r="G3761" i="5"/>
  <c r="G4621" i="5"/>
  <c r="G3033" i="5"/>
  <c r="G3901" i="5"/>
  <c r="G4346" i="5"/>
  <c r="G4452" i="5"/>
  <c r="G5116" i="5"/>
  <c r="G4311" i="5"/>
  <c r="G4872" i="5"/>
  <c r="G4989" i="5"/>
  <c r="G4817" i="5"/>
  <c r="G5072" i="5"/>
  <c r="G5005" i="5"/>
  <c r="G4998" i="5"/>
  <c r="G220" i="5"/>
  <c r="G605" i="5"/>
  <c r="G1078" i="5"/>
  <c r="G122" i="5"/>
  <c r="G1331" i="5"/>
  <c r="G1930" i="5"/>
  <c r="G1548" i="5"/>
  <c r="G1697" i="5"/>
  <c r="G118" i="5"/>
  <c r="G286" i="5"/>
  <c r="G221" i="5"/>
  <c r="G346" i="5"/>
  <c r="G512" i="5"/>
  <c r="G881" i="5"/>
  <c r="G1058" i="5"/>
  <c r="G1162" i="5"/>
  <c r="G513" i="5"/>
  <c r="G1135" i="5"/>
  <c r="G1456" i="5"/>
  <c r="G1807" i="5"/>
  <c r="G568" i="5"/>
  <c r="G500" i="5"/>
  <c r="G673" i="5"/>
  <c r="G484" i="5"/>
  <c r="G1150" i="5"/>
  <c r="G1315" i="5"/>
  <c r="G2112" i="5"/>
  <c r="G163" i="5"/>
  <c r="G2351" i="5"/>
  <c r="G2119" i="5"/>
  <c r="G1747" i="5"/>
  <c r="G1824" i="5"/>
  <c r="G1919" i="5"/>
  <c r="G3214" i="5"/>
  <c r="G4736" i="5"/>
  <c r="G2863" i="5"/>
  <c r="G3140" i="5"/>
  <c r="G4010" i="5"/>
  <c r="G3075" i="5"/>
  <c r="H775" i="5"/>
  <c r="E147" i="8" s="1"/>
  <c r="G292" i="5"/>
  <c r="G128" i="5"/>
  <c r="G920" i="5"/>
  <c r="G1176" i="5"/>
  <c r="G140" i="5"/>
  <c r="G296" i="5"/>
  <c r="G536" i="5"/>
  <c r="G786" i="5"/>
  <c r="G979" i="5"/>
  <c r="G1143" i="5"/>
  <c r="G1253" i="5"/>
  <c r="G537" i="5"/>
  <c r="G887" i="5"/>
  <c r="G1056" i="5"/>
  <c r="G1500" i="5"/>
  <c r="G1813" i="5"/>
  <c r="G587" i="5"/>
  <c r="G972" i="5"/>
  <c r="G1234" i="5"/>
  <c r="G1616" i="5"/>
  <c r="G411" i="5"/>
  <c r="G1168" i="5"/>
  <c r="G595" i="5"/>
  <c r="G1224" i="5"/>
  <c r="G866" i="5"/>
  <c r="G1065" i="5"/>
  <c r="G1800" i="5"/>
  <c r="G2364" i="5"/>
  <c r="G520" i="5"/>
  <c r="G653" i="5"/>
  <c r="G1097" i="5"/>
  <c r="G1241" i="5"/>
  <c r="G376" i="5"/>
  <c r="G1006" i="5"/>
  <c r="G1192" i="5"/>
  <c r="G722" i="5"/>
  <c r="G872" i="5"/>
  <c r="G1171" i="5"/>
  <c r="G1226" i="5"/>
  <c r="G2120" i="5"/>
  <c r="G2353" i="5"/>
  <c r="G192" i="5"/>
  <c r="G485" i="5"/>
  <c r="G754" i="5"/>
  <c r="G1182" i="5"/>
  <c r="G1579" i="5"/>
  <c r="G2214" i="5"/>
  <c r="G2357" i="5"/>
  <c r="G1393" i="5"/>
  <c r="G2302" i="5"/>
  <c r="H2514" i="5"/>
  <c r="G2780" i="5"/>
  <c r="G1659" i="5"/>
  <c r="G1273" i="5"/>
  <c r="G1842" i="5"/>
  <c r="G1990" i="5"/>
  <c r="G2318" i="5"/>
  <c r="G2378" i="5"/>
  <c r="G1517" i="5"/>
  <c r="G2055" i="5"/>
  <c r="G2373" i="5"/>
  <c r="G1578" i="5"/>
  <c r="G1685" i="5"/>
  <c r="G1835" i="5"/>
  <c r="G1404" i="5"/>
  <c r="G2081" i="5"/>
  <c r="G2903" i="5"/>
  <c r="G3873" i="5"/>
  <c r="G4060" i="5"/>
  <c r="G4404" i="5"/>
  <c r="G3081" i="5"/>
  <c r="H2638" i="5"/>
  <c r="G3102" i="5"/>
  <c r="G3525" i="5"/>
  <c r="G3732" i="5"/>
  <c r="G3985" i="5"/>
  <c r="G2198" i="5"/>
  <c r="G2764" i="5"/>
  <c r="G2841" i="5"/>
  <c r="G3042" i="5"/>
  <c r="G3253" i="5"/>
  <c r="G3322" i="5"/>
  <c r="G3406" i="5"/>
  <c r="G3551" i="5"/>
  <c r="G3786" i="5"/>
  <c r="G4329" i="5"/>
  <c r="G4464" i="5"/>
  <c r="G3212" i="5"/>
  <c r="G3254" i="5"/>
  <c r="G3387" i="5"/>
  <c r="G3544" i="5"/>
  <c r="G3872" i="5"/>
  <c r="G4001" i="5"/>
  <c r="G3526" i="5"/>
  <c r="G4084" i="5"/>
  <c r="G4770" i="5"/>
  <c r="G4148" i="5"/>
  <c r="G4370" i="5"/>
  <c r="G4795" i="5"/>
  <c r="G4966" i="5"/>
  <c r="G3950" i="5"/>
  <c r="G4037" i="5"/>
  <c r="G4403" i="5"/>
  <c r="G3427" i="5"/>
  <c r="G4625" i="5"/>
  <c r="G3055" i="5"/>
  <c r="G4256" i="5"/>
  <c r="G4354" i="5"/>
  <c r="G4952" i="5"/>
  <c r="G4471" i="5"/>
  <c r="G4703" i="5"/>
  <c r="G4816" i="5"/>
  <c r="G4948" i="5"/>
  <c r="G4719" i="5"/>
  <c r="G4941" i="5"/>
  <c r="G5100" i="5"/>
  <c r="G4876" i="5"/>
  <c r="G5111" i="5"/>
  <c r="H1604" i="5"/>
  <c r="G3875" i="5"/>
  <c r="G4138" i="5"/>
  <c r="G3363" i="5"/>
  <c r="G1859" i="5"/>
  <c r="G3973" i="5"/>
  <c r="G3121" i="5"/>
  <c r="G3722" i="5"/>
  <c r="G1940" i="5"/>
  <c r="G3744" i="5"/>
  <c r="G4387" i="5"/>
  <c r="G2678" i="5"/>
  <c r="G3460" i="5"/>
  <c r="G4857" i="5"/>
  <c r="G3905" i="5"/>
  <c r="G4376" i="5"/>
  <c r="G2283" i="5"/>
  <c r="G4434" i="5"/>
  <c r="G3166" i="5"/>
  <c r="G2073" i="5"/>
  <c r="G3767" i="5"/>
  <c r="G4661" i="5"/>
  <c r="G3233" i="5"/>
  <c r="G2290" i="5"/>
  <c r="G4882" i="5"/>
  <c r="G1920" i="5"/>
  <c r="G3932" i="5"/>
  <c r="G4409" i="5"/>
  <c r="H2458" i="5"/>
  <c r="G2379" i="5"/>
  <c r="G4982" i="5"/>
  <c r="G2138" i="5"/>
  <c r="G3299" i="5"/>
  <c r="G4290" i="5"/>
  <c r="G4935" i="5"/>
  <c r="G2895" i="5"/>
  <c r="G4204" i="5"/>
  <c r="G2399" i="5"/>
  <c r="G4112" i="5"/>
  <c r="G2720" i="5"/>
  <c r="G3823" i="5"/>
  <c r="G3314" i="5"/>
  <c r="G2266" i="5"/>
  <c r="G4312" i="5"/>
  <c r="G3428" i="5"/>
  <c r="G4776" i="5"/>
  <c r="G4491" i="5"/>
  <c r="G4853" i="5"/>
  <c r="G5033" i="5"/>
  <c r="G4283" i="5"/>
  <c r="G4505" i="5"/>
  <c r="G4435" i="5"/>
  <c r="G4865" i="5"/>
  <c r="G4763" i="5"/>
  <c r="G5123" i="5"/>
  <c r="G4899" i="5"/>
  <c r="G5159" i="5"/>
  <c r="G4851" i="5"/>
  <c r="G4909" i="5"/>
  <c r="G4822" i="5"/>
  <c r="G4913" i="5"/>
  <c r="G4972" i="5"/>
  <c r="G4749" i="5"/>
  <c r="G4894" i="5"/>
  <c r="G5074" i="5"/>
  <c r="G4928" i="5"/>
  <c r="H498" i="5"/>
  <c r="G4756" i="5"/>
  <c r="G4922" i="5"/>
  <c r="G4947" i="5"/>
  <c r="G5093" i="5"/>
  <c r="G4769" i="5"/>
  <c r="G4961" i="5"/>
  <c r="G5094" i="5"/>
  <c r="G4499" i="5"/>
  <c r="G4788" i="5"/>
  <c r="G4955" i="5"/>
  <c r="G5006" i="5"/>
  <c r="G5020" i="5"/>
  <c r="G4828" i="5"/>
  <c r="G4840" i="5"/>
  <c r="G4965" i="5"/>
  <c r="G4378" i="5"/>
  <c r="G4997" i="5"/>
  <c r="G4871" i="5"/>
  <c r="G5018" i="5"/>
  <c r="G5147" i="5"/>
  <c r="G1030" i="5"/>
  <c r="G1317" i="5"/>
  <c r="G912" i="5"/>
  <c r="G3476" i="5"/>
  <c r="G3459" i="5"/>
  <c r="G3451" i="5"/>
  <c r="F456" i="6"/>
  <c r="H2642" i="5"/>
  <c r="H3910" i="5"/>
  <c r="H994" i="5"/>
  <c r="F406" i="6"/>
  <c r="G4810" i="5"/>
  <c r="G5034" i="5"/>
  <c r="H2434" i="5"/>
  <c r="F405" i="6"/>
  <c r="F288" i="6"/>
  <c r="F64" i="6"/>
  <c r="F26" i="7"/>
  <c r="F63" i="6"/>
  <c r="E260" i="8" l="1"/>
  <c r="E585" i="8"/>
  <c r="E508" i="8"/>
  <c r="E414" i="8"/>
  <c r="E182" i="8"/>
  <c r="E581" i="8"/>
  <c r="E472" i="8"/>
  <c r="E580" i="8"/>
  <c r="E519" i="8"/>
  <c r="E571" i="8"/>
  <c r="E473" i="8"/>
  <c r="E507" i="8"/>
  <c r="E476" i="8"/>
  <c r="E576" i="8"/>
  <c r="E505" i="8"/>
  <c r="E570" i="8"/>
  <c r="E514" i="8"/>
  <c r="E477" i="8"/>
  <c r="E103" i="8"/>
  <c r="E506" i="8"/>
  <c r="E509" i="8"/>
  <c r="E517" i="8"/>
  <c r="E567" i="8"/>
  <c r="E1087" i="8"/>
  <c r="E518" i="8"/>
  <c r="E511" i="8"/>
  <c r="E572" i="8"/>
  <c r="E513" i="8"/>
  <c r="H1259" i="5"/>
  <c r="E219" i="8" s="1"/>
  <c r="G763" i="5"/>
  <c r="G2522" i="5"/>
  <c r="G5152" i="5"/>
  <c r="G2406" i="5"/>
  <c r="G3547" i="5"/>
  <c r="G3954" i="5"/>
  <c r="G4299" i="5"/>
  <c r="G4083" i="5"/>
  <c r="G4547" i="5"/>
  <c r="G4381" i="5"/>
  <c r="F41" i="6"/>
  <c r="H2674" i="5"/>
  <c r="G4237" i="5"/>
  <c r="G4415" i="5"/>
  <c r="G751" i="5"/>
  <c r="H2562" i="5"/>
  <c r="H3344" i="5"/>
  <c r="H2466" i="5"/>
  <c r="G889" i="5"/>
  <c r="H887" i="5" s="1"/>
  <c r="E163" i="8" s="1"/>
  <c r="G4178" i="5"/>
  <c r="G3179" i="5"/>
  <c r="G3708" i="5"/>
  <c r="G344" i="5"/>
  <c r="G642" i="5"/>
  <c r="G3919" i="5"/>
  <c r="G1350" i="5"/>
  <c r="H3914" i="5"/>
  <c r="G2446" i="5"/>
  <c r="G1415" i="5"/>
  <c r="H2478" i="5"/>
  <c r="G4145" i="5"/>
  <c r="G2426" i="5"/>
  <c r="G2498" i="5"/>
  <c r="G1765" i="5"/>
  <c r="G2243" i="5"/>
  <c r="G3196" i="5"/>
  <c r="G3368" i="5"/>
  <c r="G255" i="5"/>
  <c r="G3111" i="5"/>
  <c r="G3892" i="5"/>
  <c r="G4497" i="5"/>
  <c r="G2244" i="5"/>
  <c r="G822" i="5"/>
  <c r="G874" i="5"/>
  <c r="G1634" i="5"/>
  <c r="G691" i="5"/>
  <c r="G681" i="5"/>
  <c r="G2139" i="5"/>
  <c r="G2747" i="5"/>
  <c r="H2744" i="5" s="1"/>
  <c r="E850" i="8" s="1"/>
  <c r="G1387" i="5"/>
  <c r="G4310" i="5"/>
  <c r="H2630" i="5"/>
  <c r="G933" i="5"/>
  <c r="G4075" i="5"/>
  <c r="G3927" i="5"/>
  <c r="G3614" i="5"/>
  <c r="G229" i="5"/>
  <c r="G3704" i="5"/>
  <c r="G2570" i="5"/>
  <c r="G2438" i="5"/>
  <c r="G1203" i="5"/>
  <c r="G2754" i="5"/>
  <c r="G2646" i="5"/>
  <c r="G2606" i="5"/>
  <c r="G3615" i="5"/>
  <c r="G3778" i="5"/>
  <c r="H3667" i="5"/>
  <c r="G2165" i="5"/>
  <c r="G2301" i="5"/>
  <c r="G2662" i="5"/>
  <c r="G387" i="5"/>
  <c r="G1405" i="5"/>
  <c r="G2248" i="5"/>
  <c r="H2566" i="5"/>
  <c r="G2005" i="5"/>
  <c r="G2430" i="5"/>
  <c r="G3570" i="5"/>
  <c r="G817" i="5"/>
  <c r="G2145" i="5"/>
  <c r="G1570" i="5"/>
  <c r="G3632" i="5"/>
  <c r="G4939" i="5"/>
  <c r="G2012" i="5"/>
  <c r="G3864" i="5"/>
  <c r="G3392" i="5"/>
  <c r="G925" i="5"/>
  <c r="G2289" i="5"/>
  <c r="G1840" i="5"/>
  <c r="G684" i="5"/>
  <c r="G395" i="5"/>
  <c r="G1657" i="5"/>
  <c r="G543" i="5"/>
  <c r="G3043" i="5"/>
  <c r="G1031" i="5"/>
  <c r="G1220" i="5"/>
  <c r="G4447" i="5"/>
  <c r="G2265" i="5"/>
  <c r="H2490" i="5"/>
  <c r="H2654" i="5"/>
  <c r="H2494" i="5"/>
  <c r="H3712" i="5"/>
  <c r="G330" i="5"/>
  <c r="G761" i="5"/>
  <c r="G254" i="5"/>
  <c r="G2454" i="5"/>
  <c r="G3779" i="5"/>
  <c r="G566" i="5"/>
  <c r="G3575" i="5"/>
  <c r="G3362" i="5"/>
  <c r="G2482" i="5"/>
  <c r="H2422" i="5"/>
  <c r="H707" i="5"/>
  <c r="E132" i="8" s="1"/>
  <c r="G1555" i="5"/>
  <c r="G620" i="5"/>
  <c r="G237" i="5"/>
  <c r="H669" i="5"/>
  <c r="G381" i="5"/>
  <c r="G665" i="5"/>
  <c r="G764" i="5"/>
  <c r="G327" i="5"/>
  <c r="G358" i="5"/>
  <c r="G882" i="5"/>
  <c r="G386" i="5"/>
  <c r="G385" i="5"/>
  <c r="G685" i="5"/>
  <c r="G683" i="5"/>
  <c r="H2149" i="5"/>
  <c r="F144" i="6"/>
  <c r="H1140" i="5"/>
  <c r="G584" i="5"/>
  <c r="G1307" i="5"/>
  <c r="G1610" i="5"/>
  <c r="G5017" i="5"/>
  <c r="F1326" i="8"/>
  <c r="I1354" i="8"/>
  <c r="G3788" i="5"/>
  <c r="G4556" i="5"/>
  <c r="G2966" i="5"/>
  <c r="H3387" i="5"/>
  <c r="G2708" i="5"/>
  <c r="G3315" i="5"/>
  <c r="G849" i="5"/>
  <c r="G1797" i="5"/>
  <c r="G1485" i="5"/>
  <c r="H1168" i="5"/>
  <c r="E206" i="8" s="1"/>
  <c r="G39" i="5"/>
  <c r="G4198" i="5"/>
  <c r="F34" i="7"/>
  <c r="G4330" i="5"/>
  <c r="G3417" i="5"/>
  <c r="G1427" i="5"/>
  <c r="G1444" i="5"/>
  <c r="G1510" i="5"/>
  <c r="G1509" i="5"/>
  <c r="G4241" i="5"/>
  <c r="G4184" i="5"/>
  <c r="G4161" i="5"/>
  <c r="G3699" i="5"/>
  <c r="G2137" i="5"/>
  <c r="H220" i="5"/>
  <c r="E50" i="8" s="1"/>
  <c r="G4929" i="5"/>
  <c r="G4018" i="5"/>
  <c r="G3050" i="5"/>
  <c r="G3226" i="5"/>
  <c r="H1341" i="5"/>
  <c r="E231" i="8" s="1"/>
  <c r="G418" i="5"/>
  <c r="G813" i="5"/>
  <c r="G957" i="5"/>
  <c r="G1310" i="5"/>
  <c r="F60" i="7"/>
  <c r="G3478" i="5"/>
  <c r="G3794" i="5"/>
  <c r="H2690" i="5"/>
  <c r="H3557" i="5"/>
  <c r="G2955" i="5"/>
  <c r="H3382" i="5"/>
  <c r="G2088" i="5"/>
  <c r="G2026" i="5"/>
  <c r="G3349" i="5"/>
  <c r="H202" i="5"/>
  <c r="H89" i="5"/>
  <c r="H1997" i="5"/>
  <c r="E328" i="8" s="1"/>
  <c r="G1157" i="5"/>
  <c r="G4091" i="5"/>
  <c r="H2063" i="5"/>
  <c r="E337" i="8" s="1"/>
  <c r="G1105" i="5"/>
  <c r="F47" i="7"/>
  <c r="H3833" i="5"/>
  <c r="E1075" i="8" s="1"/>
  <c r="H4439" i="5"/>
  <c r="G4748" i="5"/>
  <c r="G2858" i="5"/>
  <c r="H2980" i="5"/>
  <c r="F261" i="6"/>
  <c r="G4124" i="5"/>
  <c r="H2666" i="5"/>
  <c r="G2174" i="5"/>
  <c r="G40" i="5"/>
  <c r="F355" i="6"/>
  <c r="G1129" i="5"/>
  <c r="H155" i="5"/>
  <c r="E37" i="8" s="1"/>
  <c r="G456" i="5"/>
  <c r="F61" i="7"/>
  <c r="F174" i="6"/>
  <c r="G4152" i="5"/>
  <c r="H3319" i="5"/>
  <c r="E948" i="8" s="1"/>
  <c r="G265" i="5"/>
  <c r="G35" i="5"/>
  <c r="G458" i="5"/>
  <c r="H2131" i="5"/>
  <c r="E346" i="8" s="1"/>
  <c r="H2758" i="5"/>
  <c r="G2233" i="5"/>
  <c r="H2763" i="5"/>
  <c r="H2879" i="5"/>
  <c r="H3538" i="5"/>
  <c r="H2031" i="5"/>
  <c r="E333" i="8" s="1"/>
  <c r="G1769" i="5"/>
  <c r="G895" i="5"/>
  <c r="G661" i="5"/>
  <c r="H1651" i="5"/>
  <c r="H4727" i="5"/>
  <c r="G4050" i="5"/>
  <c r="G4077" i="5"/>
  <c r="G2908" i="5"/>
  <c r="F361" i="6"/>
  <c r="F316" i="6"/>
  <c r="G3013" i="5"/>
  <c r="H2933" i="5"/>
  <c r="H2650" i="5"/>
  <c r="G1941" i="5"/>
  <c r="F139" i="6"/>
  <c r="F210" i="6"/>
  <c r="G1057" i="5"/>
  <c r="G3644" i="5"/>
  <c r="G297" i="5"/>
  <c r="G3609" i="5"/>
  <c r="H1889" i="5"/>
  <c r="H4703" i="5"/>
  <c r="F419" i="6"/>
  <c r="H1576" i="5"/>
  <c r="H2357" i="5"/>
  <c r="E376" i="8" s="1"/>
  <c r="G1104" i="5"/>
  <c r="G5134" i="5"/>
  <c r="G4475" i="5"/>
  <c r="G4292" i="5"/>
  <c r="G1465" i="5"/>
  <c r="G1464" i="5"/>
  <c r="G1442" i="5"/>
  <c r="G1504" i="5"/>
  <c r="G4211" i="5"/>
  <c r="G3809" i="5"/>
  <c r="G3808" i="5"/>
  <c r="G271" i="5"/>
  <c r="H2351" i="5"/>
  <c r="E375" i="8" s="1"/>
  <c r="G3610" i="5"/>
  <c r="G3700" i="5"/>
  <c r="G4239" i="5"/>
  <c r="G4153" i="5"/>
  <c r="H2817" i="5"/>
  <c r="H2960" i="5"/>
  <c r="G1908" i="5"/>
  <c r="G561" i="5"/>
  <c r="H733" i="5"/>
  <c r="E135" i="8" s="1"/>
  <c r="H4666" i="5"/>
  <c r="H2871" i="5"/>
  <c r="G3225" i="5"/>
  <c r="H3101" i="5"/>
  <c r="E914" i="8" s="1"/>
  <c r="G1783" i="5"/>
  <c r="H2542" i="5"/>
  <c r="H976" i="5"/>
  <c r="E180" i="8" s="1"/>
  <c r="H465" i="5"/>
  <c r="E99" i="8" s="1"/>
  <c r="G4202" i="5"/>
  <c r="H769" i="5"/>
  <c r="E146" i="8" s="1"/>
  <c r="F442" i="6"/>
  <c r="H842" i="5"/>
  <c r="H1048" i="5"/>
  <c r="E189" i="8" s="1"/>
  <c r="G958" i="5"/>
  <c r="H2822" i="5"/>
  <c r="G3731" i="5"/>
  <c r="G1471" i="5"/>
  <c r="G1470" i="5"/>
  <c r="G136" i="5"/>
  <c r="G952" i="5"/>
  <c r="G353" i="5"/>
  <c r="G4194" i="5"/>
  <c r="F217" i="6"/>
  <c r="F78" i="7"/>
  <c r="G4323" i="5"/>
  <c r="G4541" i="5"/>
  <c r="H4545" i="5"/>
  <c r="E1176" i="8" s="1"/>
  <c r="H2237" i="5"/>
  <c r="F19" i="7"/>
  <c r="G3806" i="5"/>
  <c r="G899" i="5"/>
  <c r="G4501" i="5"/>
  <c r="G4017" i="5"/>
  <c r="G4540" i="5"/>
  <c r="G2087" i="5"/>
  <c r="G604" i="5"/>
  <c r="G4803" i="5"/>
  <c r="G4265" i="5"/>
  <c r="H4671" i="5"/>
  <c r="F360" i="6"/>
  <c r="H2103" i="5"/>
  <c r="E342" i="8" s="1"/>
  <c r="G3922" i="5"/>
  <c r="G3180" i="5"/>
  <c r="G1982" i="5"/>
  <c r="H2325" i="5"/>
  <c r="E371" i="8" s="1"/>
  <c r="G3991" i="5"/>
  <c r="G4209" i="5"/>
  <c r="G3289" i="5"/>
  <c r="H176" i="5"/>
  <c r="F152" i="6"/>
  <c r="G4974" i="5"/>
  <c r="H4972" i="5" s="1"/>
  <c r="E1315" i="8" s="1"/>
  <c r="H4876" i="5"/>
  <c r="G5011" i="5"/>
  <c r="H4719" i="5"/>
  <c r="G4561" i="5"/>
  <c r="G4231" i="5"/>
  <c r="F362" i="6"/>
  <c r="H2373" i="5"/>
  <c r="G1957" i="5"/>
  <c r="G2219" i="5"/>
  <c r="G1883" i="5"/>
  <c r="G2206" i="5"/>
  <c r="G4183" i="5"/>
  <c r="G4284" i="5"/>
  <c r="G2634" i="5"/>
  <c r="G1434" i="5"/>
  <c r="G1591" i="5"/>
  <c r="G1590" i="5"/>
  <c r="G1479" i="5"/>
  <c r="G1495" i="5"/>
  <c r="G4193" i="5"/>
  <c r="G3602" i="5"/>
  <c r="G3574" i="5"/>
  <c r="G1929" i="5"/>
  <c r="G55" i="5"/>
  <c r="G4240" i="5"/>
  <c r="G3716" i="5"/>
  <c r="G3452" i="5"/>
  <c r="G3987" i="5"/>
  <c r="G2832" i="5"/>
  <c r="F82" i="6"/>
  <c r="G45" i="5"/>
  <c r="H3080" i="5"/>
  <c r="H2345" i="5"/>
  <c r="E374" i="8" s="1"/>
  <c r="H1776" i="5"/>
  <c r="E285" i="8" s="1"/>
  <c r="G910" i="5"/>
  <c r="G1805" i="5"/>
  <c r="H1062" i="5"/>
  <c r="E191" i="8" s="1"/>
  <c r="G597" i="5"/>
  <c r="G1956" i="5"/>
  <c r="G5057" i="5"/>
  <c r="G2684" i="5"/>
  <c r="H2125" i="5"/>
  <c r="E345" i="8" s="1"/>
  <c r="H3936" i="5"/>
  <c r="H3815" i="5"/>
  <c r="G1663" i="5"/>
  <c r="G900" i="5"/>
  <c r="H962" i="5"/>
  <c r="G1981" i="5"/>
  <c r="G295" i="5"/>
  <c r="H4832" i="5"/>
  <c r="G4133" i="5"/>
  <c r="G4498" i="5"/>
  <c r="G3288" i="5"/>
  <c r="F172" i="6"/>
  <c r="G2913" i="5"/>
  <c r="F127" i="6"/>
  <c r="G2259" i="5"/>
  <c r="G1679" i="5"/>
  <c r="G1828" i="5"/>
  <c r="G4232" i="5"/>
  <c r="F20" i="7"/>
  <c r="H3954" i="5"/>
  <c r="G185" i="5"/>
  <c r="G2246" i="5"/>
  <c r="G4562" i="5"/>
  <c r="G3923" i="5"/>
  <c r="H3945" i="5"/>
  <c r="H3397" i="5"/>
  <c r="H1950" i="5"/>
  <c r="H1704" i="5"/>
  <c r="E277" i="8" s="1"/>
  <c r="H4695" i="5"/>
  <c r="G4500" i="5"/>
  <c r="G3851" i="5"/>
  <c r="G4167" i="5"/>
  <c r="H3357" i="5"/>
  <c r="G613" i="5"/>
  <c r="F79" i="7"/>
  <c r="G2971" i="5"/>
  <c r="G2738" i="5"/>
  <c r="G4419" i="5"/>
  <c r="G2183" i="5"/>
  <c r="G2247" i="5"/>
  <c r="H941" i="5"/>
  <c r="E175" i="8" s="1"/>
  <c r="H1093" i="5"/>
  <c r="G12" i="5"/>
  <c r="F43" i="6"/>
  <c r="G5132" i="5"/>
  <c r="G1785" i="5"/>
  <c r="H1823" i="5"/>
  <c r="G1770" i="5"/>
  <c r="F1311" i="8"/>
  <c r="F223" i="6"/>
  <c r="G3497" i="5"/>
  <c r="G2049" i="5"/>
  <c r="H872" i="5"/>
  <c r="H1224" i="5"/>
  <c r="E214" i="8" s="1"/>
  <c r="G2040" i="5"/>
  <c r="F100" i="6"/>
  <c r="G172" i="5"/>
  <c r="F30" i="7"/>
  <c r="G3467" i="5"/>
  <c r="G4294" i="5"/>
  <c r="G3466" i="5"/>
  <c r="G1502" i="5"/>
  <c r="G1480" i="5"/>
  <c r="G1508" i="5"/>
  <c r="G1459" i="5"/>
  <c r="G1478" i="5"/>
  <c r="G3603" i="5"/>
  <c r="G3172" i="5"/>
  <c r="G622" i="5"/>
  <c r="G298" i="5"/>
  <c r="G8" i="5"/>
  <c r="G2013" i="5"/>
  <c r="H1161" i="5"/>
  <c r="E205" i="8" s="1"/>
  <c r="G5060" i="5"/>
  <c r="F116" i="6"/>
  <c r="G4557" i="5"/>
  <c r="F58" i="7"/>
  <c r="G1473" i="5"/>
  <c r="F211" i="6"/>
  <c r="G3573" i="5"/>
  <c r="H3517" i="5"/>
  <c r="G2739" i="5"/>
  <c r="H3202" i="5"/>
  <c r="G1665" i="5"/>
  <c r="G2232" i="5"/>
  <c r="H2095" i="5"/>
  <c r="E341" i="8" s="1"/>
  <c r="F128" i="6"/>
  <c r="G427" i="5"/>
  <c r="G894" i="5"/>
  <c r="H726" i="5"/>
  <c r="E134" i="8" s="1"/>
  <c r="H853" i="5"/>
  <c r="G2014" i="5"/>
  <c r="H167" i="5"/>
  <c r="G1337" i="5"/>
  <c r="G16" i="5"/>
  <c r="H277" i="5"/>
  <c r="E80" i="8" s="1"/>
  <c r="F8" i="7"/>
  <c r="H1945" i="5"/>
  <c r="H5139" i="5"/>
  <c r="G4679" i="5"/>
  <c r="G3858" i="5"/>
  <c r="F182" i="6"/>
  <c r="G3986" i="5"/>
  <c r="G3038" i="5"/>
  <c r="G1711" i="5"/>
  <c r="G1664" i="5"/>
  <c r="G1533" i="5"/>
  <c r="H2726" i="5"/>
  <c r="G184" i="5"/>
  <c r="G3044" i="5"/>
  <c r="G1600" i="5"/>
  <c r="H5084" i="5"/>
  <c r="E1333" i="8" s="1"/>
  <c r="F230" i="6"/>
  <c r="G4908" i="5"/>
  <c r="H4024" i="5"/>
  <c r="F183" i="6"/>
  <c r="G2341" i="5"/>
  <c r="H1391" i="5"/>
  <c r="E239" i="8" s="1"/>
  <c r="H1834" i="5"/>
  <c r="H145" i="5"/>
  <c r="G1071" i="5"/>
  <c r="H1293" i="5"/>
  <c r="H1818" i="5"/>
  <c r="F45" i="7"/>
  <c r="H5098" i="5"/>
  <c r="E1336" i="8" s="1"/>
  <c r="G3091" i="5"/>
  <c r="H3115" i="5"/>
  <c r="E916" i="8" s="1"/>
  <c r="G4264" i="5"/>
  <c r="G3686" i="5"/>
  <c r="H4414" i="5"/>
  <c r="H3108" i="5"/>
  <c r="E915" i="8" s="1"/>
  <c r="F301" i="6"/>
  <c r="G2714" i="5"/>
  <c r="H3065" i="5"/>
  <c r="H3580" i="5"/>
  <c r="G249" i="5"/>
  <c r="G44" i="5"/>
  <c r="G2025" i="5"/>
  <c r="G3727" i="5"/>
  <c r="H3978" i="5"/>
  <c r="H2802" i="5"/>
  <c r="F54" i="6"/>
  <c r="F73" i="7"/>
  <c r="G4802" i="5"/>
  <c r="G4321" i="5"/>
  <c r="H3190" i="5"/>
  <c r="G2785" i="5"/>
  <c r="H3030" i="5"/>
  <c r="E901" i="8" s="1"/>
  <c r="F24" i="6"/>
  <c r="H2213" i="5"/>
  <c r="F134" i="6"/>
  <c r="G257" i="5"/>
  <c r="G2340" i="5"/>
  <c r="H2165" i="5"/>
  <c r="G2986" i="5"/>
  <c r="H3208" i="5"/>
  <c r="E930" i="8" s="1"/>
  <c r="F1351" i="8"/>
  <c r="F75" i="7"/>
  <c r="F15" i="7"/>
  <c r="F62" i="7"/>
  <c r="H4082" i="5"/>
  <c r="E1120" i="8" s="1"/>
  <c r="F420" i="6"/>
  <c r="H3551" i="5"/>
  <c r="G2923" i="5"/>
  <c r="F201" i="6"/>
  <c r="H2055" i="5"/>
  <c r="E336" i="8" s="1"/>
  <c r="H402" i="5"/>
  <c r="E92" i="8" s="1"/>
  <c r="H916" i="5"/>
  <c r="F35" i="7"/>
  <c r="F36" i="7"/>
  <c r="G3441" i="5"/>
  <c r="G3442" i="5"/>
  <c r="G1494" i="5"/>
  <c r="G1433" i="5"/>
  <c r="G1489" i="5"/>
  <c r="G1450" i="5"/>
  <c r="G1457" i="5"/>
  <c r="G1461" i="5"/>
  <c r="G447" i="5"/>
  <c r="G3171" i="5"/>
  <c r="H2863" i="5"/>
  <c r="H673" i="5"/>
  <c r="E128" i="8" s="1"/>
  <c r="H118" i="5"/>
  <c r="H122" i="5"/>
  <c r="G3572" i="5"/>
  <c r="G4268" i="5"/>
  <c r="H2887" i="5"/>
  <c r="G2048" i="5"/>
  <c r="G765" i="5"/>
  <c r="G3592" i="5"/>
  <c r="G4049" i="5"/>
  <c r="G4219" i="5"/>
  <c r="F77" i="7"/>
  <c r="G4267" i="5"/>
  <c r="G2918" i="5"/>
  <c r="F218" i="6"/>
  <c r="G812" i="5"/>
  <c r="G1798" i="5"/>
  <c r="G79" i="5"/>
  <c r="H284" i="5"/>
  <c r="E81" i="8" s="1"/>
  <c r="F386" i="6"/>
  <c r="G368" i="5"/>
  <c r="G74" i="5"/>
  <c r="F330" i="6"/>
  <c r="H3353" i="5"/>
  <c r="H3005" i="5"/>
  <c r="G2985" i="5"/>
  <c r="F115" i="6"/>
  <c r="G2089" i="5"/>
  <c r="G1302" i="5"/>
  <c r="G1115" i="5"/>
  <c r="G1212" i="5"/>
  <c r="G49" i="5"/>
  <c r="H1231" i="5"/>
  <c r="H4636" i="5"/>
  <c r="E1240" i="8" s="1"/>
  <c r="F359" i="6"/>
  <c r="H4711" i="5"/>
  <c r="H2696" i="5"/>
  <c r="G2231" i="5"/>
  <c r="G4324" i="5"/>
  <c r="G2260" i="5"/>
  <c r="G1974" i="5"/>
  <c r="G180" i="5"/>
  <c r="G5039" i="5"/>
  <c r="G56" i="5"/>
  <c r="H94" i="5"/>
  <c r="H717" i="5"/>
  <c r="E133" i="8" s="1"/>
  <c r="H835" i="5"/>
  <c r="G61" i="5"/>
  <c r="G4208" i="5"/>
  <c r="H3598" i="5"/>
  <c r="H3305" i="5"/>
  <c r="H2363" i="5"/>
  <c r="E377" i="8" s="1"/>
  <c r="G150" i="5"/>
  <c r="F21" i="7"/>
  <c r="G1955" i="5"/>
  <c r="F447" i="6"/>
  <c r="G5054" i="5"/>
  <c r="G5121" i="5"/>
  <c r="H3488" i="5"/>
  <c r="G4266" i="5"/>
  <c r="H3218" i="5"/>
  <c r="H3139" i="5"/>
  <c r="E920" i="8" s="1"/>
  <c r="G4662" i="5"/>
  <c r="H4656" i="5"/>
  <c r="G2808" i="5"/>
  <c r="F331" i="6"/>
  <c r="G4078" i="5"/>
  <c r="F110" i="6"/>
  <c r="H1924" i="5"/>
  <c r="G603" i="5"/>
  <c r="H1628" i="5"/>
  <c r="G1156" i="5"/>
  <c r="G1680" i="5"/>
  <c r="H649" i="5"/>
  <c r="G4927" i="5"/>
  <c r="G1612" i="5"/>
  <c r="F354" i="6"/>
  <c r="H536" i="5"/>
  <c r="E108" i="8" s="1"/>
  <c r="G562" i="5"/>
  <c r="F408" i="6"/>
  <c r="G3418" i="5"/>
  <c r="G1592" i="5"/>
  <c r="G1446" i="5"/>
  <c r="G1431" i="5"/>
  <c r="G4207" i="5"/>
  <c r="G1449" i="5"/>
  <c r="G1448" i="5"/>
  <c r="G4227" i="5"/>
  <c r="G54" i="5"/>
  <c r="G66" i="5"/>
  <c r="G3045" i="5"/>
  <c r="G5133" i="5"/>
  <c r="H484" i="5"/>
  <c r="E101" i="8" s="1"/>
  <c r="H1076" i="5"/>
  <c r="E193" i="8" s="1"/>
  <c r="F457" i="6"/>
  <c r="G5122" i="5"/>
  <c r="G4322" i="5"/>
  <c r="G2848" i="5"/>
  <c r="G4182" i="5"/>
  <c r="H225" i="5"/>
  <c r="G4599" i="5"/>
  <c r="G4125" i="5"/>
  <c r="G50" i="5"/>
  <c r="F33" i="6"/>
  <c r="F55" i="6"/>
  <c r="H1379" i="5"/>
  <c r="E237" i="8" s="1"/>
  <c r="H127" i="5"/>
  <c r="G322" i="5"/>
  <c r="G3753" i="5"/>
  <c r="F205" i="6"/>
  <c r="G205" i="6" s="1"/>
  <c r="G1963" i="5"/>
  <c r="H3060" i="5"/>
  <c r="F18" i="6"/>
  <c r="G1710" i="5"/>
  <c r="H1015" i="5"/>
  <c r="E185" i="8" s="1"/>
  <c r="H1684" i="5"/>
  <c r="G3495" i="5"/>
  <c r="G4598" i="5"/>
  <c r="G2828" i="5"/>
  <c r="F315" i="6"/>
  <c r="F195" i="6"/>
  <c r="G3085" i="5"/>
  <c r="H1669" i="5"/>
  <c r="G1804" i="5"/>
  <c r="G1562" i="5"/>
  <c r="H1403" i="5"/>
  <c r="E241" i="8" s="1"/>
  <c r="G4195" i="5"/>
  <c r="H983" i="5"/>
  <c r="E181" i="8" s="1"/>
  <c r="G256" i="5"/>
  <c r="G1975" i="5"/>
  <c r="G1311" i="5"/>
  <c r="G3593" i="5"/>
  <c r="F57" i="7"/>
  <c r="F56" i="7"/>
  <c r="G4095" i="5"/>
  <c r="G5012" i="5"/>
  <c r="G3656" i="5"/>
  <c r="G3161" i="5"/>
  <c r="H2332" i="5"/>
  <c r="G1907" i="5"/>
  <c r="G848" i="5"/>
  <c r="G4199" i="5"/>
  <c r="G113" i="5"/>
  <c r="H84" i="5"/>
  <c r="G3728" i="5"/>
  <c r="H3070" i="5"/>
  <c r="F329" i="6"/>
  <c r="G352" i="5"/>
  <c r="G3531" i="5"/>
  <c r="H3997" i="5"/>
  <c r="H4781" i="5"/>
  <c r="E1264" i="8" s="1"/>
  <c r="F271" i="6"/>
  <c r="H3623" i="5"/>
  <c r="G821" i="5"/>
  <c r="F109" i="6"/>
  <c r="G577" i="5"/>
  <c r="H4571" i="5"/>
  <c r="G951" i="5"/>
  <c r="H1329" i="5"/>
  <c r="E229" i="8" s="1"/>
  <c r="G1830" i="5"/>
  <c r="G3477" i="5"/>
  <c r="G3766" i="5"/>
  <c r="G3090" i="5"/>
  <c r="G3453" i="5"/>
  <c r="G457" i="5"/>
  <c r="G490" i="5"/>
  <c r="H866" i="5"/>
  <c r="E160" i="8" s="1"/>
  <c r="G826" i="5"/>
  <c r="F452" i="6"/>
  <c r="G31" i="5"/>
  <c r="G30" i="5"/>
  <c r="F36" i="6"/>
  <c r="F407" i="6"/>
  <c r="F409" i="6"/>
  <c r="F32" i="7"/>
  <c r="F31" i="7"/>
  <c r="G4286" i="5"/>
  <c r="G1491" i="5"/>
  <c r="G1588" i="5"/>
  <c r="G1506" i="5"/>
  <c r="G4200" i="5"/>
  <c r="G3340" i="5"/>
  <c r="G4210" i="5"/>
  <c r="G4201" i="5"/>
  <c r="G20" i="5"/>
  <c r="G191" i="5"/>
  <c r="G5055" i="5"/>
  <c r="G3586" i="5"/>
  <c r="G72" i="5"/>
  <c r="F44" i="6"/>
  <c r="G198" i="5"/>
  <c r="H1135" i="5"/>
  <c r="E201" i="8" s="1"/>
  <c r="H512" i="5"/>
  <c r="E105" i="8" s="1"/>
  <c r="G644" i="5"/>
  <c r="G1884" i="5"/>
  <c r="G3807" i="5"/>
  <c r="G3852" i="5"/>
  <c r="H3963" i="5"/>
  <c r="H4585" i="5"/>
  <c r="E1181" i="8" s="1"/>
  <c r="G3162" i="5"/>
  <c r="F14" i="7"/>
  <c r="G1301" i="5"/>
  <c r="G3178" i="5"/>
  <c r="F306" i="6"/>
  <c r="G3177" i="5"/>
  <c r="G4427" i="5"/>
  <c r="G2218" i="5"/>
  <c r="G3181" i="5"/>
  <c r="H4457" i="5"/>
  <c r="E1166" i="8" s="1"/>
  <c r="H2018" i="5"/>
  <c r="E331" i="8" s="1"/>
  <c r="F432" i="6"/>
  <c r="F53" i="6"/>
  <c r="G4420" i="5"/>
  <c r="H4631" i="5"/>
  <c r="G2965" i="5"/>
  <c r="H1645" i="5"/>
  <c r="E267" i="8" s="1"/>
  <c r="H1674" i="5"/>
  <c r="H2157" i="5"/>
  <c r="H566" i="5"/>
  <c r="G1368" i="5"/>
  <c r="G699" i="5"/>
  <c r="H162" i="5"/>
  <c r="E38" i="8" s="1"/>
  <c r="H132" i="5"/>
  <c r="G576" i="5"/>
  <c r="G215" i="5"/>
  <c r="H1085" i="5"/>
  <c r="E194" i="8" s="1"/>
  <c r="G5010" i="5"/>
  <c r="F200" i="6"/>
  <c r="H1119" i="5"/>
  <c r="G4160" i="5"/>
  <c r="G3859" i="5"/>
  <c r="G4881" i="5"/>
  <c r="G4090" i="5"/>
  <c r="G2853" i="5"/>
  <c r="G3037" i="5"/>
  <c r="G4096" i="5"/>
  <c r="G2175" i="5"/>
  <c r="G1690" i="5"/>
  <c r="G1114" i="5"/>
  <c r="G1300" i="5"/>
  <c r="G108" i="5"/>
  <c r="G3682" i="5"/>
  <c r="G3134" i="5"/>
  <c r="H4646" i="5"/>
  <c r="E1241" i="8" s="1"/>
  <c r="F343" i="6"/>
  <c r="G4044" i="5"/>
  <c r="G3223" i="5"/>
  <c r="H4531" i="5"/>
  <c r="H3095" i="5"/>
  <c r="H793" i="5"/>
  <c r="E149" i="8" s="1"/>
  <c r="G250" i="5"/>
  <c r="F45" i="6"/>
  <c r="G1336" i="5"/>
  <c r="G2041" i="5"/>
  <c r="G71" i="5"/>
  <c r="G264" i="5"/>
  <c r="G151" i="5"/>
  <c r="F368" i="6"/>
  <c r="G3795" i="5"/>
  <c r="G2252" i="5"/>
  <c r="H1182" i="5"/>
  <c r="E208" i="8" s="1"/>
  <c r="G1691" i="5"/>
  <c r="H653" i="5"/>
  <c r="G3648" i="5"/>
  <c r="G1213" i="5"/>
  <c r="G206" i="5"/>
  <c r="H140" i="5"/>
  <c r="E34" i="8" s="1"/>
  <c r="G1429" i="5"/>
  <c r="G1493" i="5"/>
  <c r="G1463" i="5"/>
  <c r="G1586" i="5"/>
  <c r="G4179" i="5"/>
  <c r="G25" i="5"/>
  <c r="G4197" i="5"/>
  <c r="G4196" i="5"/>
  <c r="G104" i="5"/>
  <c r="G26" i="5"/>
  <c r="G3585" i="5"/>
  <c r="F25" i="6"/>
  <c r="F233" i="6"/>
  <c r="G4222" i="5"/>
  <c r="G1486" i="5"/>
  <c r="G3752" i="5"/>
  <c r="H3018" i="5"/>
  <c r="G2253" i="5"/>
  <c r="H2732" i="5"/>
  <c r="H1245" i="5"/>
  <c r="G1196" i="5"/>
  <c r="G62" i="5"/>
  <c r="G1829" i="5"/>
  <c r="G645" i="5"/>
  <c r="G1872" i="5"/>
  <c r="H99" i="5"/>
  <c r="G1178" i="5"/>
  <c r="G1563" i="5"/>
  <c r="H4298" i="5"/>
  <c r="H241" i="5"/>
  <c r="G419" i="5"/>
  <c r="H4886" i="5"/>
  <c r="F55" i="7"/>
  <c r="F59" i="7"/>
  <c r="G4045" i="5"/>
  <c r="H4445" i="5"/>
  <c r="E1165" i="8" s="1"/>
  <c r="H4687" i="5"/>
  <c r="F421" i="6"/>
  <c r="H2768" i="5"/>
  <c r="E854" i="8" s="1"/>
  <c r="G3371" i="5"/>
  <c r="G2702" i="5"/>
  <c r="G1532" i="5"/>
  <c r="H1865" i="5"/>
  <c r="F9" i="7"/>
  <c r="G657" i="5"/>
  <c r="G1367" i="5"/>
  <c r="G1254" i="5"/>
  <c r="H4117" i="5"/>
  <c r="G3401" i="5"/>
  <c r="G3496" i="5"/>
  <c r="G3874" i="5"/>
  <c r="H3026" i="5"/>
  <c r="G3370" i="5"/>
  <c r="F151" i="6"/>
  <c r="F10" i="6"/>
  <c r="H830" i="5"/>
  <c r="H1967" i="5"/>
  <c r="E324" i="8" s="1"/>
  <c r="F22" i="7"/>
  <c r="H906" i="5"/>
  <c r="G2207" i="5"/>
  <c r="H1005" i="5"/>
  <c r="F160" i="6"/>
  <c r="H2812" i="5"/>
  <c r="H5110" i="5"/>
  <c r="E1338" i="8" s="1"/>
  <c r="F74" i="7"/>
  <c r="G4132" i="5"/>
  <c r="G2954" i="5"/>
  <c r="H3000" i="5"/>
  <c r="G3657" i="5"/>
  <c r="H1266" i="5"/>
  <c r="H969" i="5"/>
  <c r="G1177" i="5"/>
  <c r="F446" i="6"/>
  <c r="F76" i="7"/>
  <c r="H4844" i="5"/>
  <c r="E1274" i="8" s="1"/>
  <c r="G2938" i="5"/>
  <c r="G2182" i="5"/>
  <c r="G4954" i="5"/>
  <c r="F48" i="7"/>
  <c r="G3723" i="5"/>
  <c r="F318" i="6"/>
  <c r="G3182" i="5"/>
  <c r="G1871" i="5"/>
  <c r="G75" i="5"/>
  <c r="H626" i="5"/>
  <c r="E119" i="8" s="1"/>
  <c r="H211" i="5"/>
  <c r="G614" i="5"/>
  <c r="G1255" i="5"/>
  <c r="G1784" i="5"/>
  <c r="F222" i="6"/>
  <c r="H1039" i="5"/>
  <c r="E188" i="8" s="1"/>
  <c r="G1369" i="5"/>
  <c r="H2895" i="5"/>
  <c r="H2378" i="5"/>
  <c r="E380" i="8" s="1"/>
  <c r="H4409" i="5"/>
  <c r="H4308" i="5"/>
  <c r="E1146" i="8" s="1"/>
  <c r="H4107" i="5"/>
  <c r="F255" i="6"/>
  <c r="H3927" i="5"/>
  <c r="H2678" i="5"/>
  <c r="F279" i="6"/>
  <c r="F120" i="6"/>
  <c r="F132" i="6"/>
  <c r="H2399" i="5"/>
  <c r="E383" i="8" s="1"/>
  <c r="F184" i="6"/>
  <c r="F243" i="6"/>
  <c r="H1919" i="5"/>
  <c r="H2071" i="5"/>
  <c r="E338" i="8" s="1"/>
  <c r="H4387" i="5"/>
  <c r="H3121" i="5"/>
  <c r="E917" i="8" s="1"/>
  <c r="H3361" i="5"/>
  <c r="H4774" i="5"/>
  <c r="E1263" i="8" s="1"/>
  <c r="F229" i="6"/>
  <c r="H3166" i="5"/>
  <c r="E924" i="8" s="1"/>
  <c r="H4857" i="5"/>
  <c r="H3738" i="5"/>
  <c r="E1064" i="8" s="1"/>
  <c r="H3972" i="5"/>
  <c r="H4137" i="5"/>
  <c r="H2720" i="5"/>
  <c r="F317" i="6"/>
  <c r="H4899" i="5"/>
  <c r="F390" i="6"/>
  <c r="H4821" i="5"/>
  <c r="H4850" i="5"/>
  <c r="F247" i="6"/>
  <c r="F227" i="6"/>
  <c r="H4760" i="5"/>
  <c r="E1261" i="8" s="1"/>
  <c r="H5158" i="5"/>
  <c r="H4505" i="5"/>
  <c r="H4488" i="5"/>
  <c r="H4367" i="5"/>
  <c r="H4838" i="5"/>
  <c r="F388" i="6"/>
  <c r="F228" i="6"/>
  <c r="H4892" i="5"/>
  <c r="E1286" i="8" s="1"/>
  <c r="H4994" i="5"/>
  <c r="E1318" i="8" s="1"/>
  <c r="H4826" i="5"/>
  <c r="F242" i="6"/>
  <c r="F72" i="7"/>
  <c r="F367" i="6"/>
  <c r="H4913" i="5"/>
  <c r="F246" i="6"/>
  <c r="F382" i="6"/>
  <c r="H4870" i="5"/>
  <c r="E1278" i="8" s="1"/>
  <c r="H4788" i="5"/>
  <c r="H4767" i="5"/>
  <c r="E1262" i="8" s="1"/>
  <c r="H4945" i="5"/>
  <c r="F231" i="6"/>
  <c r="F458" i="6"/>
  <c r="F366" i="6"/>
  <c r="F391" i="6"/>
  <c r="H4753" i="5"/>
  <c r="E1260" i="8" s="1"/>
  <c r="G1897" i="5"/>
  <c r="G2976" i="5"/>
  <c r="G3056" i="5"/>
  <c r="G4101" i="5"/>
  <c r="G1641" i="5"/>
  <c r="G2996" i="5"/>
  <c r="G2919" i="5"/>
  <c r="G2909" i="5"/>
  <c r="G4577" i="5"/>
  <c r="G3014" i="5"/>
  <c r="G1985" i="5"/>
  <c r="G2227" i="5"/>
  <c r="G1799" i="5"/>
  <c r="G1936" i="5"/>
  <c r="G1879" i="5"/>
  <c r="G2991" i="5"/>
  <c r="G3076" i="5"/>
  <c r="G1147" i="5"/>
  <c r="G4735" i="5"/>
  <c r="G1624" i="5"/>
  <c r="G1238" i="5"/>
  <c r="G4597" i="5"/>
  <c r="G638" i="5"/>
  <c r="G3128" i="5"/>
  <c r="G1792" i="5"/>
  <c r="G2111" i="5"/>
  <c r="G3523" i="5"/>
  <c r="G2039" i="5"/>
  <c r="G1976" i="5"/>
  <c r="G3327" i="5"/>
  <c r="G1993" i="5"/>
  <c r="G1885" i="5"/>
  <c r="G2414" i="5"/>
  <c r="G3840" i="5"/>
  <c r="G1855" i="5"/>
  <c r="G1010" i="5"/>
  <c r="G1861" i="5"/>
  <c r="G5104" i="5"/>
  <c r="G2047" i="5"/>
  <c r="G2121" i="5"/>
  <c r="G3434" i="5"/>
  <c r="G2369" i="5"/>
  <c r="G1873" i="5"/>
  <c r="G5092" i="5"/>
  <c r="G491" i="5"/>
  <c r="G3660" i="5"/>
  <c r="G3533" i="5"/>
  <c r="G1189" i="5"/>
  <c r="G1903" i="5"/>
  <c r="G2394" i="5"/>
  <c r="G3426" i="5"/>
  <c r="G3793" i="5"/>
  <c r="G2079" i="5"/>
  <c r="G2261" i="5"/>
  <c r="G611" i="5"/>
  <c r="G1693" i="5"/>
  <c r="G1286" i="5"/>
  <c r="G2914" i="5"/>
  <c r="G1275" i="5"/>
  <c r="G739" i="5"/>
  <c r="G4246" i="5"/>
  <c r="G3871" i="5"/>
  <c r="H1029" i="5"/>
  <c r="G4089" i="5"/>
  <c r="G1849" i="5"/>
  <c r="G1279" i="5"/>
  <c r="G1111" i="5"/>
  <c r="G449" i="5"/>
  <c r="G5031" i="5"/>
  <c r="H1311" i="8"/>
  <c r="F232" i="6"/>
  <c r="F244" i="6"/>
  <c r="F369" i="6"/>
  <c r="E187" i="8" l="1"/>
  <c r="E862" i="8"/>
  <c r="E1250" i="8"/>
  <c r="E62" i="8"/>
  <c r="E888" i="8"/>
  <c r="E257" i="8"/>
  <c r="E583" i="8"/>
  <c r="E268" i="8"/>
  <c r="E961" i="8"/>
  <c r="E410" i="8"/>
  <c r="E499" i="8"/>
  <c r="E564" i="8"/>
  <c r="E562" i="8"/>
  <c r="E1270" i="8"/>
  <c r="E1276" i="8"/>
  <c r="E315" i="8"/>
  <c r="E1094" i="8"/>
  <c r="E1159" i="8"/>
  <c r="E1273" i="8"/>
  <c r="E1238" i="8"/>
  <c r="E1155" i="8"/>
  <c r="E198" i="8"/>
  <c r="E1099" i="8"/>
  <c r="E956" i="8"/>
  <c r="E874" i="8"/>
  <c r="E1113" i="8"/>
  <c r="E1272" i="8"/>
  <c r="E1254" i="8"/>
  <c r="E864" i="8"/>
  <c r="E863" i="8"/>
  <c r="E882" i="8"/>
  <c r="E1164" i="8"/>
  <c r="E123" i="8"/>
  <c r="E913" i="8"/>
  <c r="E48" i="8"/>
  <c r="E179" i="8"/>
  <c r="E1125" i="8"/>
  <c r="E112" i="8"/>
  <c r="E908" i="8"/>
  <c r="E372" i="8"/>
  <c r="E264" i="8"/>
  <c r="E30" i="8"/>
  <c r="E172" i="8"/>
  <c r="E351" i="8"/>
  <c r="E927" i="8"/>
  <c r="E1160" i="8"/>
  <c r="E224" i="8"/>
  <c r="E195" i="8"/>
  <c r="E957" i="8"/>
  <c r="E910" i="8"/>
  <c r="E1247" i="8"/>
  <c r="E1252" i="8"/>
  <c r="E588" i="8"/>
  <c r="E985" i="8"/>
  <c r="E475" i="8"/>
  <c r="E1171" i="8"/>
  <c r="E720" i="8"/>
  <c r="E958" i="8"/>
  <c r="E896" i="8"/>
  <c r="E154" i="8"/>
  <c r="E306" i="8"/>
  <c r="E25" i="8"/>
  <c r="E350" i="8"/>
  <c r="E1109" i="8"/>
  <c r="E271" i="8"/>
  <c r="E24" i="8"/>
  <c r="E29" i="8"/>
  <c r="E298" i="8"/>
  <c r="E929" i="8"/>
  <c r="E1098" i="8"/>
  <c r="E178" i="8"/>
  <c r="E379" i="8"/>
  <c r="E363" i="8"/>
  <c r="E515" i="8"/>
  <c r="E715" i="8"/>
  <c r="E983" i="8"/>
  <c r="E1245" i="8"/>
  <c r="E155" i="8"/>
  <c r="E1253" i="8"/>
  <c r="E1289" i="8"/>
  <c r="E1271" i="8"/>
  <c r="E1169" i="8"/>
  <c r="E1294" i="8"/>
  <c r="E1348" i="8"/>
  <c r="E1129" i="8"/>
  <c r="E220" i="8"/>
  <c r="E900" i="8"/>
  <c r="E32" i="8"/>
  <c r="E272" i="8"/>
  <c r="E274" i="8"/>
  <c r="E316" i="8"/>
  <c r="E945" i="8"/>
  <c r="E992" i="8"/>
  <c r="E716" i="8"/>
  <c r="E215" i="8"/>
  <c r="E35" i="8"/>
  <c r="E161" i="8"/>
  <c r="E321" i="8"/>
  <c r="E1248" i="8"/>
  <c r="E310" i="8"/>
  <c r="E202" i="8"/>
  <c r="E494" i="8"/>
  <c r="E953" i="8"/>
  <c r="E597" i="8"/>
  <c r="E166" i="8"/>
  <c r="E1145" i="8"/>
  <c r="E217" i="8"/>
  <c r="E1174" i="8"/>
  <c r="E906" i="8"/>
  <c r="E320" i="8"/>
  <c r="E1095" i="8"/>
  <c r="E1287" i="8"/>
  <c r="E875" i="8"/>
  <c r="E1102" i="8"/>
  <c r="E1156" i="8"/>
  <c r="E1124" i="8"/>
  <c r="E1285" i="8"/>
  <c r="E722" i="8"/>
  <c r="E899" i="8"/>
  <c r="E995" i="8"/>
  <c r="E51" i="8"/>
  <c r="E931" i="8"/>
  <c r="E871" i="8"/>
  <c r="E988" i="8"/>
  <c r="E39" i="8"/>
  <c r="E299" i="8"/>
  <c r="E156" i="8"/>
  <c r="E872" i="8"/>
  <c r="E981" i="8"/>
  <c r="E852" i="8"/>
  <c r="E127" i="8"/>
  <c r="E1036" i="8"/>
  <c r="E897" i="8"/>
  <c r="E1265" i="8"/>
  <c r="E1275" i="8"/>
  <c r="E713" i="8"/>
  <c r="E183" i="8"/>
  <c r="E1179" i="8"/>
  <c r="E22" i="8"/>
  <c r="E359" i="8"/>
  <c r="E860" i="8"/>
  <c r="E907" i="8"/>
  <c r="E978" i="8"/>
  <c r="E1251" i="8"/>
  <c r="E964" i="8"/>
  <c r="E1071" i="8"/>
  <c r="E41" i="8"/>
  <c r="E873" i="8"/>
  <c r="E892" i="8"/>
  <c r="E23" i="8"/>
  <c r="E349" i="8"/>
  <c r="E501" i="8"/>
  <c r="E578" i="8"/>
  <c r="E31" i="8"/>
  <c r="E122" i="8"/>
  <c r="E975" i="8"/>
  <c r="E1103" i="8"/>
  <c r="E301" i="8"/>
  <c r="E721" i="8"/>
  <c r="E1341" i="8"/>
  <c r="E158" i="8"/>
  <c r="E1097" i="8"/>
  <c r="E1283" i="8"/>
  <c r="E1255" i="8"/>
  <c r="E853" i="8"/>
  <c r="E46" i="8"/>
  <c r="E962" i="8"/>
  <c r="E584" i="8"/>
  <c r="E1006" i="8"/>
  <c r="E1088" i="8"/>
  <c r="H1634" i="5"/>
  <c r="H5152" i="5"/>
  <c r="H2522" i="5"/>
  <c r="H3777" i="5"/>
  <c r="E1068" i="8" s="1"/>
  <c r="F280" i="6"/>
  <c r="F397" i="6"/>
  <c r="F396" i="6"/>
  <c r="F281" i="6"/>
  <c r="F40" i="6"/>
  <c r="H1657" i="5"/>
  <c r="H2004" i="5"/>
  <c r="E329" i="8" s="1"/>
  <c r="H3314" i="5"/>
  <c r="H3892" i="5"/>
  <c r="H4661" i="5"/>
  <c r="H3392" i="5"/>
  <c r="H3196" i="5"/>
  <c r="G8" i="7"/>
  <c r="H880" i="5"/>
  <c r="H2751" i="5"/>
  <c r="H1217" i="5"/>
  <c r="E213" i="8" s="1"/>
  <c r="H932" i="5"/>
  <c r="H509" i="8"/>
  <c r="I509" i="8" s="1"/>
  <c r="H4939" i="5"/>
  <c r="H1385" i="5"/>
  <c r="I1311" i="8"/>
  <c r="H1326" i="8"/>
  <c r="I1326" i="8" s="1"/>
  <c r="H925" i="5"/>
  <c r="H1940" i="5"/>
  <c r="H4144" i="5"/>
  <c r="H584" i="5"/>
  <c r="E114" i="8" s="1"/>
  <c r="H542" i="5"/>
  <c r="F23" i="6"/>
  <c r="H3708" i="5"/>
  <c r="H2662" i="5"/>
  <c r="H3704" i="5"/>
  <c r="H1569" i="5"/>
  <c r="H2430" i="5"/>
  <c r="H2498" i="5"/>
  <c r="H2454" i="5"/>
  <c r="H1203" i="5"/>
  <c r="H229" i="5"/>
  <c r="H2143" i="5"/>
  <c r="E348" i="8" s="1"/>
  <c r="H2426" i="5"/>
  <c r="H2446" i="5"/>
  <c r="H2438" i="5"/>
  <c r="H817" i="5"/>
  <c r="H2482" i="5"/>
  <c r="H2646" i="5"/>
  <c r="H2570" i="5"/>
  <c r="H2807" i="5"/>
  <c r="G182" i="6"/>
  <c r="G200" i="6"/>
  <c r="G2027" i="5"/>
  <c r="H5016" i="5"/>
  <c r="H3451" i="5"/>
  <c r="H366" i="5"/>
  <c r="H237" i="5"/>
  <c r="H665" i="5"/>
  <c r="H381" i="5"/>
  <c r="G126" i="6"/>
  <c r="G150" i="6"/>
  <c r="H681" i="5"/>
  <c r="G1752" i="5"/>
  <c r="G1741" i="5"/>
  <c r="G359" i="6"/>
  <c r="G13" i="7"/>
  <c r="G217" i="6"/>
  <c r="G108" i="6"/>
  <c r="H2137" i="5"/>
  <c r="E347" i="8" s="1"/>
  <c r="H4496" i="5"/>
  <c r="H910" i="5"/>
  <c r="G456" i="6"/>
  <c r="H4927" i="5"/>
  <c r="E1291" i="8" s="1"/>
  <c r="H3918" i="5"/>
  <c r="H4880" i="5"/>
  <c r="G222" i="6"/>
  <c r="H1101" i="5"/>
  <c r="H1351" i="8"/>
  <c r="I1351" i="8"/>
  <c r="H4236" i="5"/>
  <c r="F1213" i="8"/>
  <c r="H4952" i="5"/>
  <c r="E1300" i="8" s="1"/>
  <c r="G114" i="6"/>
  <c r="H5030" i="5"/>
  <c r="G1733" i="5"/>
  <c r="G69" i="7"/>
  <c r="H3984" i="5"/>
  <c r="H3722" i="5"/>
  <c r="H1961" i="5"/>
  <c r="H1610" i="5"/>
  <c r="H812" i="8"/>
  <c r="F812" i="8"/>
  <c r="I812" i="8"/>
  <c r="H1198" i="8"/>
  <c r="F1198" i="8"/>
  <c r="I1198" i="8"/>
  <c r="F1015" i="8"/>
  <c r="I1015" i="8"/>
  <c r="H1015" i="8"/>
  <c r="F1187" i="8"/>
  <c r="I1187" i="8"/>
  <c r="H1187" i="8"/>
  <c r="F1062" i="8"/>
  <c r="H1062" i="8"/>
  <c r="I1062" i="8"/>
  <c r="F685" i="8"/>
  <c r="H685" i="8"/>
  <c r="I685" i="8"/>
  <c r="F671" i="8"/>
  <c r="H671" i="8"/>
  <c r="I671" i="8"/>
  <c r="H1196" i="5"/>
  <c r="E210" i="8" s="1"/>
  <c r="G2786" i="5"/>
  <c r="G4474" i="5"/>
  <c r="H25" i="5"/>
  <c r="F28" i="7"/>
  <c r="F196" i="6"/>
  <c r="G194" i="6" s="1"/>
  <c r="H215" i="5"/>
  <c r="H3340" i="5"/>
  <c r="H30" i="5"/>
  <c r="H3090" i="5"/>
  <c r="H2848" i="5"/>
  <c r="G4363" i="5"/>
  <c r="G2904" i="5"/>
  <c r="G4564" i="5"/>
  <c r="F161" i="6"/>
  <c r="F1327" i="8"/>
  <c r="H1327" i="8"/>
  <c r="I1327" i="8" s="1"/>
  <c r="G336" i="5"/>
  <c r="F398" i="6"/>
  <c r="F173" i="6"/>
  <c r="H5131" i="5"/>
  <c r="F84" i="6"/>
  <c r="F189" i="6"/>
  <c r="G4285" i="5"/>
  <c r="H3991" i="5"/>
  <c r="G1699" i="5"/>
  <c r="H1252" i="5"/>
  <c r="G332" i="5"/>
  <c r="G251" i="5"/>
  <c r="G1414" i="5"/>
  <c r="G3286" i="5"/>
  <c r="F1308" i="8"/>
  <c r="H1308" i="8"/>
  <c r="I1308" i="8"/>
  <c r="H772" i="8"/>
  <c r="I772" i="8"/>
  <c r="F772" i="8"/>
  <c r="F1042" i="8"/>
  <c r="H1042" i="8"/>
  <c r="I1042" i="8"/>
  <c r="F666" i="8"/>
  <c r="H666" i="8"/>
  <c r="I666" i="8"/>
  <c r="F159" i="6"/>
  <c r="G1435" i="5"/>
  <c r="H264" i="5"/>
  <c r="E78" i="8" s="1"/>
  <c r="F83" i="6"/>
  <c r="G4563" i="5"/>
  <c r="H4095" i="5"/>
  <c r="G2791" i="5"/>
  <c r="H66" i="5"/>
  <c r="G1593" i="5"/>
  <c r="G1474" i="5"/>
  <c r="H49" i="5"/>
  <c r="H807" i="5"/>
  <c r="E150" i="8" s="1"/>
  <c r="H4219" i="5"/>
  <c r="F451" i="6"/>
  <c r="G451" i="6" s="1"/>
  <c r="G4554" i="5"/>
  <c r="G3244" i="5"/>
  <c r="G337" i="5"/>
  <c r="G2939" i="5"/>
  <c r="G1841" i="5"/>
  <c r="G3502" i="5"/>
  <c r="H2714" i="5"/>
  <c r="H16" i="5"/>
  <c r="H2011" i="5"/>
  <c r="E330" i="8" s="1"/>
  <c r="G4158" i="5"/>
  <c r="G1412" i="5"/>
  <c r="G2833" i="5"/>
  <c r="H4075" i="5"/>
  <c r="H1828" i="5"/>
  <c r="G3827" i="5"/>
  <c r="G1419" i="5"/>
  <c r="H4539" i="5"/>
  <c r="G3051" i="5"/>
  <c r="F190" i="6"/>
  <c r="G3545" i="5"/>
  <c r="G4332" i="5"/>
  <c r="G476" i="5"/>
  <c r="H3695" i="5"/>
  <c r="E1019" i="8" s="1"/>
  <c r="H956" i="5"/>
  <c r="G1492" i="5"/>
  <c r="G1476" i="5"/>
  <c r="F1211" i="8"/>
  <c r="I1211" i="8"/>
  <c r="H1211" i="8"/>
  <c r="F1199" i="8"/>
  <c r="I1199" i="8"/>
  <c r="H1199" i="8"/>
  <c r="F605" i="8"/>
  <c r="H605" i="8"/>
  <c r="I605" i="8"/>
  <c r="F1089" i="8"/>
  <c r="H1089" i="8"/>
  <c r="I1089" i="8"/>
  <c r="H1100" i="8"/>
  <c r="I1100" i="8"/>
  <c r="F1100" i="8"/>
  <c r="H3401" i="5"/>
  <c r="G1416" i="5"/>
  <c r="G260" i="5"/>
  <c r="G1700" i="5"/>
  <c r="G3532" i="5"/>
  <c r="F66" i="6"/>
  <c r="H3681" i="5"/>
  <c r="H108" i="5"/>
  <c r="F140" i="6"/>
  <c r="G138" i="6" s="1"/>
  <c r="H642" i="5"/>
  <c r="G2929" i="5"/>
  <c r="G4566" i="5"/>
  <c r="G1531" i="5"/>
  <c r="G3757" i="5"/>
  <c r="H826" i="5"/>
  <c r="E153" i="8" s="1"/>
  <c r="F381" i="6"/>
  <c r="F375" i="6"/>
  <c r="F376" i="6"/>
  <c r="H4318" i="5"/>
  <c r="E1147" i="8" s="1"/>
  <c r="F352" i="6"/>
  <c r="H1154" i="5"/>
  <c r="G1417" i="5"/>
  <c r="G4362" i="5"/>
  <c r="F67" i="6"/>
  <c r="F54" i="7"/>
  <c r="G52" i="7" s="1"/>
  <c r="H2684" i="5"/>
  <c r="G3408" i="5"/>
  <c r="H1929" i="5"/>
  <c r="G2953" i="5"/>
  <c r="G3658" i="5"/>
  <c r="H620" i="5"/>
  <c r="F33" i="7"/>
  <c r="F34" i="6"/>
  <c r="H2970" i="5"/>
  <c r="H455" i="5"/>
  <c r="F212" i="6"/>
  <c r="F440" i="6"/>
  <c r="G1771" i="5"/>
  <c r="F399" i="6"/>
  <c r="H2708" i="5"/>
  <c r="F1215" i="8"/>
  <c r="I1215" i="8"/>
  <c r="H1215" i="8"/>
  <c r="F887" i="8"/>
  <c r="H887" i="8"/>
  <c r="I887" i="8"/>
  <c r="F19" i="6"/>
  <c r="G18" i="6" s="1"/>
  <c r="H1367" i="5"/>
  <c r="E235" i="8" s="1"/>
  <c r="G2197" i="5"/>
  <c r="G1175" i="5"/>
  <c r="H198" i="5"/>
  <c r="G1462" i="5"/>
  <c r="G335" i="5"/>
  <c r="F400" i="6"/>
  <c r="H950" i="5"/>
  <c r="H3161" i="5"/>
  <c r="F259" i="6"/>
  <c r="G3258" i="5"/>
  <c r="H61" i="5"/>
  <c r="E17" i="8" s="1"/>
  <c r="H2231" i="5"/>
  <c r="F283" i="6"/>
  <c r="F342" i="6"/>
  <c r="H184" i="5"/>
  <c r="E43" i="8" s="1"/>
  <c r="H894" i="5"/>
  <c r="G3086" i="5"/>
  <c r="G1909" i="5"/>
  <c r="G3251" i="5"/>
  <c r="H3849" i="5"/>
  <c r="E1077" i="8" s="1"/>
  <c r="H3716" i="5"/>
  <c r="H2087" i="5"/>
  <c r="E340" i="8" s="1"/>
  <c r="F344" i="6"/>
  <c r="F213" i="6"/>
  <c r="G4004" i="5"/>
  <c r="G1507" i="5"/>
  <c r="G4278" i="5"/>
  <c r="G3821" i="5"/>
  <c r="G1915" i="5"/>
  <c r="G3513" i="5"/>
  <c r="G4979" i="5"/>
  <c r="H440" i="8"/>
  <c r="I440" i="8"/>
  <c r="F440" i="8"/>
  <c r="H1150" i="8"/>
  <c r="I1150" i="8"/>
  <c r="F1150" i="8"/>
  <c r="F463" i="8"/>
  <c r="H463" i="8"/>
  <c r="I463" i="8"/>
  <c r="H389" i="8"/>
  <c r="I389" i="8"/>
  <c r="F389" i="8"/>
  <c r="G4293" i="5"/>
  <c r="H5010" i="5"/>
  <c r="H2965" i="5"/>
  <c r="F245" i="6"/>
  <c r="G2486" i="5"/>
  <c r="H20" i="5"/>
  <c r="H321" i="5"/>
  <c r="G329" i="5"/>
  <c r="G1587" i="5"/>
  <c r="F308" i="6"/>
  <c r="G446" i="6"/>
  <c r="H150" i="5"/>
  <c r="E36" i="8" s="1"/>
  <c r="H1307" i="5"/>
  <c r="E226" i="8" s="1"/>
  <c r="H1210" i="5"/>
  <c r="E212" i="8" s="1"/>
  <c r="F122" i="6"/>
  <c r="F90" i="6"/>
  <c r="H758" i="5"/>
  <c r="F162" i="6"/>
  <c r="G3407" i="5"/>
  <c r="G474" i="5"/>
  <c r="G2205" i="5"/>
  <c r="G4065" i="5"/>
  <c r="F133" i="6"/>
  <c r="G132" i="6" s="1"/>
  <c r="G3272" i="5"/>
  <c r="G258" i="5"/>
  <c r="F332" i="6"/>
  <c r="H2738" i="5"/>
  <c r="E849" i="8" s="1"/>
  <c r="H2827" i="5"/>
  <c r="F260" i="6"/>
  <c r="G506" i="5"/>
  <c r="G4277" i="5"/>
  <c r="G19" i="7"/>
  <c r="G3230" i="5"/>
  <c r="H2173" i="5"/>
  <c r="G4171" i="5"/>
  <c r="G1420" i="5"/>
  <c r="H2181" i="5"/>
  <c r="G4071" i="5"/>
  <c r="G4276" i="5"/>
  <c r="G1515" i="5"/>
  <c r="G4052" i="5"/>
  <c r="H71" i="5"/>
  <c r="E19" i="8" s="1"/>
  <c r="H3223" i="5"/>
  <c r="E932" i="8" s="1"/>
  <c r="H1300" i="5"/>
  <c r="H3037" i="5"/>
  <c r="G2418" i="5"/>
  <c r="G3480" i="5"/>
  <c r="F145" i="6"/>
  <c r="H848" i="5"/>
  <c r="F447" i="8"/>
  <c r="H447" i="8"/>
  <c r="I447" i="8"/>
  <c r="G1547" i="5"/>
  <c r="G357" i="5"/>
  <c r="G2781" i="5"/>
  <c r="F121" i="6"/>
  <c r="H2985" i="5"/>
  <c r="H3570" i="5"/>
  <c r="F146" i="6"/>
  <c r="G4433" i="5"/>
  <c r="H4800" i="5"/>
  <c r="G3546" i="5"/>
  <c r="F282" i="6"/>
  <c r="H172" i="5"/>
  <c r="G1432" i="5"/>
  <c r="G2949" i="5"/>
  <c r="F46" i="6"/>
  <c r="G40" i="6" s="1"/>
  <c r="H661" i="5"/>
  <c r="H35" i="5"/>
  <c r="H4152" i="5"/>
  <c r="G4567" i="5"/>
  <c r="F1219" i="8"/>
  <c r="H1219" i="8"/>
  <c r="I1219" i="8"/>
  <c r="F1026" i="8"/>
  <c r="I1026" i="8"/>
  <c r="H1026" i="8"/>
  <c r="F467" i="8"/>
  <c r="I467" i="8"/>
  <c r="H467" i="8"/>
  <c r="H4131" i="5"/>
  <c r="E1128" i="8" s="1"/>
  <c r="H657" i="5"/>
  <c r="H3748" i="5"/>
  <c r="E1065" i="8" s="1"/>
  <c r="H104" i="5"/>
  <c r="H206" i="5"/>
  <c r="G4274" i="5"/>
  <c r="G2776" i="5"/>
  <c r="H821" i="5"/>
  <c r="H113" i="5"/>
  <c r="H4226" i="5"/>
  <c r="E1137" i="8" s="1"/>
  <c r="F290" i="6"/>
  <c r="H1955" i="5"/>
  <c r="H5038" i="5"/>
  <c r="E1324" i="8" s="1"/>
  <c r="H79" i="5"/>
  <c r="F46" i="7"/>
  <c r="G42" i="7" s="1"/>
  <c r="H3590" i="5"/>
  <c r="G1594" i="5"/>
  <c r="G860" i="5"/>
  <c r="G2924" i="5"/>
  <c r="F29" i="7"/>
  <c r="H3686" i="5"/>
  <c r="H4263" i="5"/>
  <c r="E1141" i="8" s="1"/>
  <c r="H1069" i="5"/>
  <c r="H1598" i="5"/>
  <c r="H4679" i="5"/>
  <c r="H8" i="5"/>
  <c r="G747" i="5"/>
  <c r="G3265" i="5"/>
  <c r="H12" i="5"/>
  <c r="H1663" i="5"/>
  <c r="G1477" i="5"/>
  <c r="H2634" i="5"/>
  <c r="H574" i="5"/>
  <c r="E113" i="8" s="1"/>
  <c r="H136" i="5"/>
  <c r="G1418" i="5"/>
  <c r="G4565" i="5"/>
  <c r="G1523" i="5"/>
  <c r="G3279" i="5"/>
  <c r="H1129" i="5"/>
  <c r="H4123" i="5"/>
  <c r="E1126" i="8" s="1"/>
  <c r="H3348" i="5"/>
  <c r="E955" i="8" s="1"/>
  <c r="G4170" i="5"/>
  <c r="F307" i="6"/>
  <c r="H39" i="5"/>
  <c r="F1354" i="8"/>
  <c r="H1354" i="8"/>
  <c r="F828" i="8"/>
  <c r="H828" i="8"/>
  <c r="I828" i="8"/>
  <c r="H2702" i="5"/>
  <c r="H3585" i="5"/>
  <c r="G4275" i="5"/>
  <c r="G1447" i="5"/>
  <c r="G3479" i="5"/>
  <c r="H4042" i="5"/>
  <c r="H3134" i="5"/>
  <c r="H699" i="5"/>
  <c r="E131" i="8" s="1"/>
  <c r="H2218" i="5"/>
  <c r="G1488" i="5"/>
  <c r="G4515" i="5"/>
  <c r="G2189" i="5"/>
  <c r="H191" i="5"/>
  <c r="G1539" i="5"/>
  <c r="G1472" i="5"/>
  <c r="H1804" i="5"/>
  <c r="E289" i="8" s="1"/>
  <c r="G2798" i="5"/>
  <c r="H54" i="5"/>
  <c r="G3659" i="5"/>
  <c r="H180" i="5"/>
  <c r="G2944" i="5"/>
  <c r="F441" i="6"/>
  <c r="F353" i="6"/>
  <c r="F73" i="6"/>
  <c r="H2339" i="5"/>
  <c r="H44" i="5"/>
  <c r="E14" i="8" s="1"/>
  <c r="G2859" i="5"/>
  <c r="F35" i="6"/>
  <c r="H1679" i="5"/>
  <c r="G3237" i="5"/>
  <c r="G338" i="5"/>
  <c r="H3602" i="5"/>
  <c r="H1783" i="5"/>
  <c r="E286" i="8" s="1"/>
  <c r="G1487" i="5"/>
  <c r="G3501" i="5"/>
  <c r="H593" i="5"/>
  <c r="E115" i="8" s="1"/>
  <c r="F639" i="8"/>
  <c r="I639" i="8"/>
  <c r="H639" i="8"/>
  <c r="H416" i="5"/>
  <c r="E93" i="8" s="1"/>
  <c r="F209" i="6"/>
  <c r="G1764" i="5"/>
  <c r="G4331" i="5"/>
  <c r="F401" i="6"/>
  <c r="F300" i="6"/>
  <c r="F1214" i="8"/>
  <c r="I1214" i="8"/>
  <c r="H1214" i="8"/>
  <c r="F1224" i="8"/>
  <c r="I1224" i="8"/>
  <c r="H1224" i="8"/>
  <c r="F1353" i="8"/>
  <c r="I1353" i="8"/>
  <c r="H1353" i="8"/>
  <c r="F1329" i="8"/>
  <c r="H1329" i="8"/>
  <c r="I1329" i="8" s="1"/>
  <c r="F1295" i="8"/>
  <c r="H1295" i="8"/>
  <c r="I1295" i="8"/>
  <c r="F1281" i="8"/>
  <c r="I1281" i="8"/>
  <c r="H1281" i="8"/>
  <c r="F1352" i="8"/>
  <c r="H1352" i="8"/>
  <c r="I1352" i="8"/>
  <c r="H1356" i="8"/>
  <c r="F1356" i="8"/>
  <c r="I1356" i="8"/>
  <c r="G1428" i="5"/>
  <c r="G4745" i="5"/>
  <c r="H3426" i="5"/>
  <c r="H490" i="5"/>
  <c r="E102" i="8" s="1"/>
  <c r="H2047" i="5"/>
  <c r="E335" i="8" s="1"/>
  <c r="G1024" i="5"/>
  <c r="G1124" i="5"/>
  <c r="H1883" i="5"/>
  <c r="H1974" i="5"/>
  <c r="E325" i="8" s="1"/>
  <c r="H1790" i="5"/>
  <c r="E287" i="8" s="1"/>
  <c r="H4735" i="5"/>
  <c r="E1256" i="8" s="1"/>
  <c r="H3075" i="5"/>
  <c r="H2225" i="5"/>
  <c r="H2908" i="5"/>
  <c r="H4089" i="5"/>
  <c r="H4245" i="5"/>
  <c r="E1139" i="8" s="1"/>
  <c r="H611" i="5"/>
  <c r="E117" i="8" s="1"/>
  <c r="G2854" i="5"/>
  <c r="H1871" i="5"/>
  <c r="H2995" i="5"/>
  <c r="H447" i="5"/>
  <c r="H1901" i="5"/>
  <c r="G4921" i="5"/>
  <c r="G4906" i="5"/>
  <c r="G4012" i="5"/>
  <c r="G788" i="5"/>
  <c r="H2412" i="5"/>
  <c r="G1397" i="5"/>
  <c r="G530" i="5"/>
  <c r="H3127" i="5"/>
  <c r="E918" i="8" s="1"/>
  <c r="G4020" i="5"/>
  <c r="H1147" i="5"/>
  <c r="E203" i="8" s="1"/>
  <c r="H2990" i="5"/>
  <c r="G4862" i="5"/>
  <c r="G4808" i="5"/>
  <c r="H2913" i="5"/>
  <c r="H2259" i="5"/>
  <c r="H1640" i="5"/>
  <c r="H2975" i="5"/>
  <c r="G1320" i="5"/>
  <c r="H3792" i="5"/>
  <c r="E1069" i="8" s="1"/>
  <c r="H1189" i="5"/>
  <c r="E209" i="8" s="1"/>
  <c r="G1356" i="5"/>
  <c r="G4254" i="5"/>
  <c r="H5104" i="5"/>
  <c r="E1337" i="8" s="1"/>
  <c r="H1010" i="5"/>
  <c r="H2039" i="5"/>
  <c r="E334" i="8" s="1"/>
  <c r="H2111" i="5"/>
  <c r="E343" i="8" s="1"/>
  <c r="G4933" i="5"/>
  <c r="H634" i="5"/>
  <c r="E120" i="8" s="1"/>
  <c r="H1238" i="5"/>
  <c r="E216" i="8" s="1"/>
  <c r="H1797" i="5"/>
  <c r="E288" i="8" s="1"/>
  <c r="H3013" i="5"/>
  <c r="H2918" i="5"/>
  <c r="H1279" i="5"/>
  <c r="H739" i="5"/>
  <c r="E136" i="8" s="1"/>
  <c r="H1286" i="5"/>
  <c r="G5024" i="5"/>
  <c r="G5047" i="5"/>
  <c r="G4815" i="5"/>
  <c r="H2119" i="5"/>
  <c r="H1877" i="5"/>
  <c r="H4101" i="5"/>
  <c r="H1895" i="5"/>
  <c r="H1111" i="5"/>
  <c r="E197" i="8" s="1"/>
  <c r="G4987" i="5"/>
  <c r="G1335" i="5"/>
  <c r="G1375" i="5"/>
  <c r="H3531" i="5"/>
  <c r="H5091" i="5"/>
  <c r="E1334" i="8" s="1"/>
  <c r="H1859" i="5"/>
  <c r="G4793" i="5"/>
  <c r="H1853" i="5"/>
  <c r="G3857" i="5"/>
  <c r="G5003" i="5"/>
  <c r="H3326" i="5"/>
  <c r="E949" i="8" s="1"/>
  <c r="H3523" i="5"/>
  <c r="E979" i="8" s="1"/>
  <c r="G1055" i="5"/>
  <c r="H4594" i="5"/>
  <c r="E1182" i="8" s="1"/>
  <c r="H1623" i="5"/>
  <c r="H4577" i="5"/>
  <c r="H1847" i="5"/>
  <c r="H3871" i="5"/>
  <c r="E1081" i="8" s="1"/>
  <c r="G3906" i="5"/>
  <c r="H1273" i="5"/>
  <c r="H2079" i="5"/>
  <c r="E339" i="8" s="1"/>
  <c r="H2368" i="5"/>
  <c r="H1934" i="5"/>
  <c r="H3055" i="5"/>
  <c r="F1299" i="8"/>
  <c r="H1299" i="8"/>
  <c r="I1299" i="8"/>
  <c r="F1342" i="8"/>
  <c r="H1342" i="8"/>
  <c r="I1342" i="8"/>
  <c r="F1303" i="8"/>
  <c r="I1303" i="8"/>
  <c r="H1303" i="8"/>
  <c r="F1345" i="8"/>
  <c r="I1345" i="8"/>
  <c r="H1345" i="8"/>
  <c r="E878" i="8" l="1"/>
  <c r="E97" i="8"/>
  <c r="E361" i="8"/>
  <c r="E1136" i="8"/>
  <c r="E1122" i="8"/>
  <c r="E1058" i="8"/>
  <c r="E171" i="8"/>
  <c r="E129" i="8"/>
  <c r="E971" i="8"/>
  <c r="E566" i="8"/>
  <c r="E416" i="8"/>
  <c r="E586" i="8"/>
  <c r="E1246" i="8"/>
  <c r="E718" i="8"/>
  <c r="E714" i="8"/>
  <c r="E204" i="8"/>
  <c r="E121" i="8"/>
  <c r="E912" i="8"/>
  <c r="E1106" i="8"/>
  <c r="E1170" i="8"/>
  <c r="E582" i="8"/>
  <c r="E1035" i="8"/>
  <c r="E1130" i="8"/>
  <c r="E174" i="8"/>
  <c r="E378" i="8"/>
  <c r="E969" i="8"/>
  <c r="E15" i="8"/>
  <c r="E18" i="8"/>
  <c r="E10" i="8"/>
  <c r="E1323" i="8"/>
  <c r="E196" i="8"/>
  <c r="E1321" i="8"/>
  <c r="E420" i="8"/>
  <c r="E319" i="8"/>
  <c r="E1083" i="8"/>
  <c r="E890" i="8"/>
  <c r="E894" i="8"/>
  <c r="E42" i="8"/>
  <c r="E1267" i="8"/>
  <c r="E225" i="8"/>
  <c r="E84" i="8"/>
  <c r="E868" i="8"/>
  <c r="E125" i="8"/>
  <c r="E965" i="8"/>
  <c r="E44" i="8"/>
  <c r="E919" i="8"/>
  <c r="E200" i="8"/>
  <c r="E1018" i="8"/>
  <c r="E987" i="8"/>
  <c r="E9" i="8"/>
  <c r="E1115" i="8"/>
  <c r="E991" i="8"/>
  <c r="E47" i="8"/>
  <c r="E893" i="8"/>
  <c r="E157" i="8"/>
  <c r="E905" i="8"/>
  <c r="E221" i="8"/>
  <c r="E1180" i="8"/>
  <c r="E304" i="8"/>
  <c r="E26" i="8"/>
  <c r="E45" i="8"/>
  <c r="E317" i="8"/>
  <c r="E27" i="8"/>
  <c r="E177" i="8"/>
  <c r="E1119" i="8"/>
  <c r="E218" i="8"/>
  <c r="E90" i="8"/>
  <c r="E412" i="8"/>
  <c r="E173" i="8"/>
  <c r="E851" i="8"/>
  <c r="E947" i="8"/>
  <c r="E318" i="8"/>
  <c r="E263" i="8"/>
  <c r="E311" i="8"/>
  <c r="E373" i="8"/>
  <c r="E717" i="8"/>
  <c r="E7" i="8"/>
  <c r="E21" i="8"/>
  <c r="E1320" i="8"/>
  <c r="E118" i="8"/>
  <c r="E1017" i="8"/>
  <c r="E8" i="8"/>
  <c r="E1107" i="8"/>
  <c r="E1340" i="8"/>
  <c r="E1284" i="8"/>
  <c r="E126" i="8"/>
  <c r="E503" i="8"/>
  <c r="E109" i="8"/>
  <c r="E162" i="8"/>
  <c r="E510" i="8"/>
  <c r="E33" i="8"/>
  <c r="E1249" i="8"/>
  <c r="E28" i="8"/>
  <c r="E865" i="8"/>
  <c r="E307" i="8"/>
  <c r="E305" i="8"/>
  <c r="E1123" i="8"/>
  <c r="E222" i="8"/>
  <c r="E891" i="8"/>
  <c r="E309" i="8"/>
  <c r="E352" i="8"/>
  <c r="E923" i="8"/>
  <c r="E49" i="8"/>
  <c r="E1093" i="8"/>
  <c r="E56" i="8"/>
  <c r="E53" i="8"/>
  <c r="E413" i="8"/>
  <c r="E1347" i="8"/>
  <c r="E385" i="8"/>
  <c r="E895" i="8"/>
  <c r="E909" i="8"/>
  <c r="E579" i="8"/>
  <c r="E270" i="8"/>
  <c r="E6" i="8"/>
  <c r="E124" i="8"/>
  <c r="E145" i="8"/>
  <c r="E993" i="8"/>
  <c r="E273" i="8"/>
  <c r="E223" i="8"/>
  <c r="E360" i="8"/>
  <c r="E259" i="8"/>
  <c r="E1131" i="8"/>
  <c r="E303" i="8"/>
  <c r="E308" i="8"/>
  <c r="E879" i="8"/>
  <c r="E184" i="8"/>
  <c r="E266" i="8"/>
  <c r="E312" i="8"/>
  <c r="E1121" i="8"/>
  <c r="E989" i="8"/>
  <c r="E12" i="8"/>
  <c r="E40" i="8"/>
  <c r="E902" i="8"/>
  <c r="E889" i="8"/>
  <c r="E1046" i="8"/>
  <c r="E98" i="8"/>
  <c r="E1175" i="8"/>
  <c r="E300" i="8"/>
  <c r="E719" i="8"/>
  <c r="E11" i="8"/>
  <c r="E261" i="8"/>
  <c r="E861" i="8"/>
  <c r="F861" i="8" s="1"/>
  <c r="E495" i="8"/>
  <c r="E211" i="8"/>
  <c r="E256" i="8"/>
  <c r="E238" i="8"/>
  <c r="E928" i="8"/>
  <c r="E265" i="8"/>
  <c r="E152" i="8"/>
  <c r="E980" i="8"/>
  <c r="E344" i="8"/>
  <c r="E898" i="8"/>
  <c r="E365" i="8"/>
  <c r="E877" i="8"/>
  <c r="E16" i="8"/>
  <c r="E13" i="8"/>
  <c r="E192" i="8"/>
  <c r="E322" i="8"/>
  <c r="E353" i="8"/>
  <c r="E164" i="8"/>
  <c r="E362" i="8"/>
  <c r="E176" i="8"/>
  <c r="E952" i="8"/>
  <c r="E323" i="8"/>
  <c r="E1138" i="8"/>
  <c r="E88" i="8"/>
  <c r="E151" i="8"/>
  <c r="E448" i="8"/>
  <c r="E1034" i="8"/>
  <c r="E1293" i="8"/>
  <c r="E963" i="8"/>
  <c r="E269" i="8"/>
  <c r="H2025" i="5"/>
  <c r="G23" i="6"/>
  <c r="F509" i="8"/>
  <c r="H2785" i="5"/>
  <c r="F584" i="8"/>
  <c r="F564" i="8"/>
  <c r="H494" i="8"/>
  <c r="I494" i="8" s="1"/>
  <c r="F501" i="8"/>
  <c r="F578" i="8"/>
  <c r="H2832" i="5"/>
  <c r="G81" i="6"/>
  <c r="G209" i="6"/>
  <c r="G440" i="6"/>
  <c r="H1907" i="5"/>
  <c r="F582" i="8"/>
  <c r="H1213" i="8"/>
  <c r="G279" i="6"/>
  <c r="G1731" i="5"/>
  <c r="G1719" i="5"/>
  <c r="G1730" i="5"/>
  <c r="G601" i="5"/>
  <c r="F419" i="8"/>
  <c r="G1742" i="5"/>
  <c r="G1720" i="5"/>
  <c r="F410" i="8"/>
  <c r="G1753" i="5"/>
  <c r="G1718" i="5"/>
  <c r="H1769" i="5"/>
  <c r="I1213" i="8"/>
  <c r="H4167" i="5"/>
  <c r="G120" i="6"/>
  <c r="G1755" i="5"/>
  <c r="H568" i="8"/>
  <c r="I568" i="8" s="1"/>
  <c r="G1734" i="5"/>
  <c r="G1744" i="5"/>
  <c r="G3842" i="5"/>
  <c r="F416" i="8"/>
  <c r="F562" i="8"/>
  <c r="G1713" i="5"/>
  <c r="G1722" i="5"/>
  <c r="G144" i="6"/>
  <c r="G29" i="6"/>
  <c r="H4328" i="5"/>
  <c r="H2943" i="5"/>
  <c r="H3279" i="5"/>
  <c r="G3503" i="5"/>
  <c r="I1349" i="8"/>
  <c r="H1349" i="8"/>
  <c r="F1349" i="8"/>
  <c r="H1252" i="8"/>
  <c r="I1252" i="8" s="1"/>
  <c r="H3258" i="5"/>
  <c r="F981" i="8"/>
  <c r="F1230" i="8"/>
  <c r="I1230" i="8"/>
  <c r="H1230" i="8"/>
  <c r="H4361" i="5"/>
  <c r="F156" i="8"/>
  <c r="F224" i="8"/>
  <c r="F567" i="8"/>
  <c r="H567" i="8"/>
  <c r="I567" i="8" s="1"/>
  <c r="H321" i="8"/>
  <c r="I321" i="8" s="1"/>
  <c r="G2251" i="5"/>
  <c r="G1743" i="5"/>
  <c r="G1984" i="5"/>
  <c r="H35" i="8"/>
  <c r="I35" i="8" s="1"/>
  <c r="F511" i="8"/>
  <c r="H511" i="8"/>
  <c r="I511" i="8" s="1"/>
  <c r="H2775" i="5"/>
  <c r="F198" i="8"/>
  <c r="H2780" i="5"/>
  <c r="H154" i="8"/>
  <c r="I154" i="8" s="1"/>
  <c r="F1255" i="8"/>
  <c r="H3230" i="5"/>
  <c r="F570" i="8"/>
  <c r="H570" i="8"/>
  <c r="I570" i="8" s="1"/>
  <c r="H2205" i="5"/>
  <c r="F22" i="8"/>
  <c r="F1229" i="8"/>
  <c r="I1229" i="8"/>
  <c r="H1229" i="8"/>
  <c r="F25" i="8"/>
  <c r="H3511" i="5"/>
  <c r="H4001" i="5"/>
  <c r="F899" i="8"/>
  <c r="H4553" i="5"/>
  <c r="E1177" i="8" s="1"/>
  <c r="F597" i="8"/>
  <c r="H597" i="8"/>
  <c r="I597" i="8" s="1"/>
  <c r="G2281" i="5"/>
  <c r="G1754" i="5"/>
  <c r="H1762" i="5"/>
  <c r="E283" i="8" s="1"/>
  <c r="F363" i="8"/>
  <c r="F860" i="8"/>
  <c r="H2189" i="5"/>
  <c r="F853" i="8"/>
  <c r="F863" i="8"/>
  <c r="H306" i="8"/>
  <c r="I306" i="8" s="1"/>
  <c r="G306" i="6"/>
  <c r="H4290" i="5"/>
  <c r="H2953" i="5"/>
  <c r="G352" i="6"/>
  <c r="H3757" i="5"/>
  <c r="H2928" i="5"/>
  <c r="F874" i="8"/>
  <c r="H2790" i="5"/>
  <c r="H3050" i="5"/>
  <c r="H2858" i="5"/>
  <c r="F24" i="8"/>
  <c r="F975" i="8"/>
  <c r="G519" i="5"/>
  <c r="H2903" i="5"/>
  <c r="G1712" i="5"/>
  <c r="G4062" i="5"/>
  <c r="H3265" i="5"/>
  <c r="G752" i="5"/>
  <c r="H4272" i="5"/>
  <c r="F872" i="8"/>
  <c r="F301" i="8"/>
  <c r="H274" i="8"/>
  <c r="I274" i="8" s="1"/>
  <c r="F873" i="8"/>
  <c r="H472" i="5"/>
  <c r="F271" i="8"/>
  <c r="H1913" i="5"/>
  <c r="F316" i="8"/>
  <c r="H961" i="8"/>
  <c r="I961" i="8" s="1"/>
  <c r="F852" i="8"/>
  <c r="H3827" i="5"/>
  <c r="H161" i="8"/>
  <c r="I161" i="8" s="1"/>
  <c r="F871" i="8"/>
  <c r="H30" i="8"/>
  <c r="I30" i="8" s="1"/>
  <c r="F1238" i="8"/>
  <c r="H4282" i="5"/>
  <c r="G4964" i="5"/>
  <c r="G1732" i="5"/>
  <c r="H3237" i="5"/>
  <c r="H4513" i="5"/>
  <c r="H859" i="5"/>
  <c r="H2418" i="5"/>
  <c r="F571" i="8"/>
  <c r="H571" i="8"/>
  <c r="I571" i="8" s="1"/>
  <c r="G4623" i="5"/>
  <c r="H3272" i="5"/>
  <c r="F518" i="8"/>
  <c r="H518" i="8"/>
  <c r="I518" i="8" s="1"/>
  <c r="G2840" i="5"/>
  <c r="H2486" i="5"/>
  <c r="F896" i="8"/>
  <c r="H4978" i="5"/>
  <c r="E1316" i="8" s="1"/>
  <c r="F1296" i="8"/>
  <c r="H1296" i="8"/>
  <c r="I1296" i="8"/>
  <c r="F1184" i="8"/>
  <c r="H1184" i="8"/>
  <c r="I1184" i="8" s="1"/>
  <c r="H1175" i="5"/>
  <c r="E207" i="8" s="1"/>
  <c r="F910" i="8"/>
  <c r="F978" i="8"/>
  <c r="F320" i="8"/>
  <c r="H298" i="8"/>
  <c r="I298" i="8" s="1"/>
  <c r="H1254" i="8"/>
  <c r="I1254" i="8" s="1"/>
  <c r="F1253" i="8"/>
  <c r="H2938" i="5"/>
  <c r="G2317" i="5"/>
  <c r="G3841" i="5"/>
  <c r="G1692" i="5"/>
  <c r="H2797" i="5"/>
  <c r="F183" i="8"/>
  <c r="H747" i="5"/>
  <c r="F907" i="8"/>
  <c r="H2923" i="5"/>
  <c r="F272" i="8"/>
  <c r="F477" i="8"/>
  <c r="H477" i="8"/>
  <c r="I477" i="8" s="1"/>
  <c r="H892" i="8"/>
  <c r="I892" i="8" s="1"/>
  <c r="F988" i="8"/>
  <c r="H327" i="5"/>
  <c r="G901" i="5"/>
  <c r="H3821" i="5"/>
  <c r="G4794" i="5"/>
  <c r="F1164" i="8"/>
  <c r="H2197" i="5"/>
  <c r="H1247" i="8"/>
  <c r="I1247" i="8" s="1"/>
  <c r="H4561" i="5"/>
  <c r="H4157" i="5"/>
  <c r="E1132" i="8" s="1"/>
  <c r="H1697" i="5"/>
  <c r="G188" i="6"/>
  <c r="H158" i="8"/>
  <c r="I158" i="8" s="1"/>
  <c r="F359" i="8"/>
  <c r="G2293" i="5"/>
  <c r="G26" i="7"/>
  <c r="G1503" i="5"/>
  <c r="G1721" i="5"/>
  <c r="G1618" i="5"/>
  <c r="G2405" i="5"/>
  <c r="G3468" i="5"/>
  <c r="H299" i="8"/>
  <c r="I299" i="8" s="1"/>
  <c r="F572" i="8"/>
  <c r="H572" i="8"/>
  <c r="I572" i="8" s="1"/>
  <c r="F983" i="8"/>
  <c r="F1251" i="8"/>
  <c r="H956" i="8"/>
  <c r="I956" i="8" s="1"/>
  <c r="F862" i="8"/>
  <c r="H3251" i="5"/>
  <c r="H249" i="5"/>
  <c r="G4063" i="5"/>
  <c r="H1248" i="8"/>
  <c r="I1248" i="8" s="1"/>
  <c r="F897" i="8"/>
  <c r="H908" i="8"/>
  <c r="I908" i="8" s="1"/>
  <c r="H23" i="8"/>
  <c r="I23" i="8" s="1"/>
  <c r="F888" i="8"/>
  <c r="H3244" i="5"/>
  <c r="H3286" i="5"/>
  <c r="F864" i="8"/>
  <c r="G2305" i="5"/>
  <c r="G1992" i="5"/>
  <c r="G2384" i="5"/>
  <c r="G3443" i="5"/>
  <c r="F962" i="8"/>
  <c r="H2948" i="5"/>
  <c r="H4433" i="5"/>
  <c r="E1163" i="8" s="1"/>
  <c r="F906" i="8"/>
  <c r="F475" i="8"/>
  <c r="H475" i="8"/>
  <c r="I475" i="8" s="1"/>
  <c r="H4071" i="5"/>
  <c r="H1250" i="8"/>
  <c r="I1250" i="8" s="1"/>
  <c r="H505" i="5"/>
  <c r="E104" i="8" s="1"/>
  <c r="H4049" i="5"/>
  <c r="F585" i="8"/>
  <c r="H585" i="8"/>
  <c r="I585" i="8" s="1"/>
  <c r="H1583" i="5"/>
  <c r="F31" i="8"/>
  <c r="H3085" i="5"/>
  <c r="H3543" i="5"/>
  <c r="F379" i="8"/>
  <c r="H1840" i="5"/>
  <c r="H1245" i="8"/>
  <c r="I1245" i="8" s="1"/>
  <c r="G395" i="6"/>
  <c r="G2269" i="5"/>
  <c r="F505" i="8"/>
  <c r="H505" i="8"/>
  <c r="I505" i="8" s="1"/>
  <c r="G4622" i="5"/>
  <c r="F875" i="8"/>
  <c r="F1156" i="8"/>
  <c r="F1058" i="8"/>
  <c r="H1159" i="8"/>
  <c r="I1159" i="8" s="1"/>
  <c r="F315" i="8"/>
  <c r="F1276" i="8"/>
  <c r="H1287" i="8"/>
  <c r="I1287" i="8" s="1"/>
  <c r="F1270" i="8"/>
  <c r="H1275" i="8"/>
  <c r="I1275" i="8" s="1"/>
  <c r="F1171" i="8"/>
  <c r="F1289" i="8"/>
  <c r="F1265" i="8"/>
  <c r="H5024" i="5"/>
  <c r="H4016" i="5"/>
  <c r="E1112" i="8" s="1"/>
  <c r="H4008" i="5"/>
  <c r="E1111" i="8" s="1"/>
  <c r="H1024" i="5"/>
  <c r="H1373" i="5"/>
  <c r="E236" i="8" s="1"/>
  <c r="H4807" i="5"/>
  <c r="E1268" i="8" s="1"/>
  <c r="H5002" i="5"/>
  <c r="E1319" i="8" s="1"/>
  <c r="H4814" i="5"/>
  <c r="E1269" i="8" s="1"/>
  <c r="H4254" i="5"/>
  <c r="E1140" i="8" s="1"/>
  <c r="H1315" i="5"/>
  <c r="E227" i="8" s="1"/>
  <c r="H4906" i="5"/>
  <c r="E1288" i="8" s="1"/>
  <c r="H1335" i="5"/>
  <c r="E230" i="8" s="1"/>
  <c r="H4862" i="5"/>
  <c r="E1277" i="8" s="1"/>
  <c r="H1055" i="5"/>
  <c r="E190" i="8" s="1"/>
  <c r="H5046" i="5"/>
  <c r="E1330" i="8" s="1"/>
  <c r="H1354" i="5"/>
  <c r="E233" i="8" s="1"/>
  <c r="H527" i="5"/>
  <c r="E107" i="8" s="1"/>
  <c r="H4921" i="5"/>
  <c r="E1290" i="8" s="1"/>
  <c r="H4745" i="5"/>
  <c r="E1257" i="8" s="1"/>
  <c r="H4986" i="5"/>
  <c r="E1317" i="8" s="1"/>
  <c r="H3905" i="5"/>
  <c r="H4933" i="5"/>
  <c r="E1292" i="8" s="1"/>
  <c r="H1397" i="5"/>
  <c r="H786" i="5"/>
  <c r="H2853" i="5"/>
  <c r="H1124" i="5"/>
  <c r="F963" i="8"/>
  <c r="H963" i="8"/>
  <c r="I963" i="8" s="1"/>
  <c r="H874" i="8"/>
  <c r="I874" i="8" s="1"/>
  <c r="F1160" i="8"/>
  <c r="H1160" i="8"/>
  <c r="I1160" i="8" s="1"/>
  <c r="F30" i="8"/>
  <c r="H871" i="8"/>
  <c r="I871" i="8" s="1"/>
  <c r="F310" i="8"/>
  <c r="H310" i="8"/>
  <c r="I310" i="8" s="1"/>
  <c r="F39" i="8"/>
  <c r="H39" i="8"/>
  <c r="I39" i="8" s="1"/>
  <c r="F1252" i="8"/>
  <c r="F882" i="8"/>
  <c r="H882" i="8"/>
  <c r="I882" i="8" s="1"/>
  <c r="F931" i="8"/>
  <c r="H931" i="8"/>
  <c r="I931" i="8" s="1"/>
  <c r="F62" i="8"/>
  <c r="H62" i="8"/>
  <c r="I62" i="8" s="1"/>
  <c r="E1116" i="8" l="1"/>
  <c r="E314" i="8"/>
  <c r="E876" i="8"/>
  <c r="E870" i="8"/>
  <c r="E1322" i="8"/>
  <c r="E75" i="8"/>
  <c r="E496" i="8"/>
  <c r="E939" i="8"/>
  <c r="E934" i="8"/>
  <c r="E904" i="8"/>
  <c r="E356" i="8"/>
  <c r="E884" i="8"/>
  <c r="E276" i="8"/>
  <c r="E1178" i="8"/>
  <c r="E1073" i="8"/>
  <c r="E935" i="8"/>
  <c r="E883" i="8"/>
  <c r="E159" i="8"/>
  <c r="E1154" i="8"/>
  <c r="E937" i="8"/>
  <c r="E859" i="8"/>
  <c r="E1085" i="8"/>
  <c r="E1118" i="8"/>
  <c r="F319" i="8"/>
  <c r="E880" i="8"/>
  <c r="E886" i="8"/>
  <c r="E354" i="8"/>
  <c r="E977" i="8"/>
  <c r="E1172" i="8"/>
  <c r="E1074" i="8"/>
  <c r="E938" i="8"/>
  <c r="E858" i="8"/>
  <c r="E940" i="8"/>
  <c r="E186" i="8"/>
  <c r="E982" i="8"/>
  <c r="E885" i="8"/>
  <c r="E941" i="8"/>
  <c r="E85" i="8"/>
  <c r="E1142" i="8"/>
  <c r="E1110" i="8"/>
  <c r="E856" i="8"/>
  <c r="E284" i="8"/>
  <c r="E302" i="8"/>
  <c r="E936" i="8"/>
  <c r="E1143" i="8"/>
  <c r="E866" i="8"/>
  <c r="E143" i="8"/>
  <c r="E199" i="8"/>
  <c r="E258" i="8"/>
  <c r="E100" i="8"/>
  <c r="E881" i="8"/>
  <c r="E1144" i="8"/>
  <c r="E855" i="8"/>
  <c r="E1148" i="8"/>
  <c r="E313" i="8"/>
  <c r="E240" i="8"/>
  <c r="E933" i="8"/>
  <c r="E911" i="8"/>
  <c r="E869" i="8"/>
  <c r="E148" i="8"/>
  <c r="E355" i="8"/>
  <c r="E392" i="8"/>
  <c r="E1066" i="8"/>
  <c r="E1133" i="8"/>
  <c r="E857" i="8"/>
  <c r="E332" i="8"/>
  <c r="F626" i="8"/>
  <c r="I626" i="8"/>
  <c r="H626" i="8"/>
  <c r="I610" i="8"/>
  <c r="H610" i="8"/>
  <c r="F610" i="8"/>
  <c r="I841" i="8"/>
  <c r="F841" i="8"/>
  <c r="H841" i="8"/>
  <c r="I809" i="8"/>
  <c r="F809" i="8"/>
  <c r="H809" i="8"/>
  <c r="H907" i="8"/>
  <c r="I907" i="8" s="1"/>
  <c r="F777" i="8"/>
  <c r="H777" i="8"/>
  <c r="I777" i="8"/>
  <c r="I602" i="8"/>
  <c r="F602" i="8"/>
  <c r="H602" i="8"/>
  <c r="F439" i="8"/>
  <c r="I439" i="8"/>
  <c r="H439" i="8"/>
  <c r="I745" i="8"/>
  <c r="F745" i="8"/>
  <c r="H745" i="8"/>
  <c r="H1164" i="8"/>
  <c r="I1164" i="8" s="1"/>
  <c r="H564" i="8"/>
  <c r="I564" i="8" s="1"/>
  <c r="H910" i="8"/>
  <c r="I910" i="8" s="1"/>
  <c r="H988" i="8"/>
  <c r="I988" i="8" s="1"/>
  <c r="F158" i="8"/>
  <c r="H853" i="8"/>
  <c r="I853" i="8" s="1"/>
  <c r="H22" i="8"/>
  <c r="I22" i="8" s="1"/>
  <c r="H183" i="8"/>
  <c r="I183" i="8" s="1"/>
  <c r="H860" i="8"/>
  <c r="I860" i="8" s="1"/>
  <c r="F35" i="8"/>
  <c r="H419" i="8"/>
  <c r="I419" i="8" s="1"/>
  <c r="F568" i="8"/>
  <c r="F1247" i="8"/>
  <c r="H363" i="8"/>
  <c r="I363" i="8" s="1"/>
  <c r="F1254" i="8"/>
  <c r="F494" i="8"/>
  <c r="H584" i="8"/>
  <c r="I584" i="8" s="1"/>
  <c r="H316" i="8"/>
  <c r="I316" i="8" s="1"/>
  <c r="F961" i="8"/>
  <c r="F321" i="8"/>
  <c r="H896" i="8"/>
  <c r="I896" i="8" s="1"/>
  <c r="H24" i="8"/>
  <c r="I24" i="8" s="1"/>
  <c r="H978" i="8"/>
  <c r="I978" i="8" s="1"/>
  <c r="H852" i="8"/>
  <c r="I852" i="8" s="1"/>
  <c r="F298" i="8"/>
  <c r="H416" i="8"/>
  <c r="I416" i="8" s="1"/>
  <c r="H323" i="8"/>
  <c r="I323" i="8" s="1"/>
  <c r="F892" i="8"/>
  <c r="H271" i="8"/>
  <c r="I271" i="8" s="1"/>
  <c r="F274" i="8"/>
  <c r="H864" i="8"/>
  <c r="I864" i="8" s="1"/>
  <c r="H410" i="8"/>
  <c r="I410" i="8" s="1"/>
  <c r="H501" i="8"/>
  <c r="I501" i="8" s="1"/>
  <c r="H863" i="8"/>
  <c r="I863" i="8" s="1"/>
  <c r="H899" i="8"/>
  <c r="I899" i="8" s="1"/>
  <c r="H872" i="8"/>
  <c r="I872" i="8" s="1"/>
  <c r="F161" i="8"/>
  <c r="H981" i="8"/>
  <c r="I981" i="8" s="1"/>
  <c r="H1238" i="8"/>
  <c r="I1238" i="8" s="1"/>
  <c r="H25" i="8"/>
  <c r="I25" i="8" s="1"/>
  <c r="H578" i="8"/>
  <c r="I578" i="8" s="1"/>
  <c r="F1346" i="8"/>
  <c r="H1346" i="8"/>
  <c r="I1346" i="8"/>
  <c r="F503" i="8"/>
  <c r="H1006" i="8"/>
  <c r="I1006" i="8" s="1"/>
  <c r="H582" i="8"/>
  <c r="I582" i="8" s="1"/>
  <c r="F1036" i="8"/>
  <c r="H873" i="8"/>
  <c r="I873" i="8" s="1"/>
  <c r="F908" i="8"/>
  <c r="H897" i="8"/>
  <c r="I897" i="8" s="1"/>
  <c r="H1251" i="8"/>
  <c r="I1251" i="8" s="1"/>
  <c r="H224" i="8"/>
  <c r="I224" i="8" s="1"/>
  <c r="H198" i="8"/>
  <c r="I198" i="8" s="1"/>
  <c r="H1255" i="8"/>
  <c r="I1255" i="8" s="1"/>
  <c r="F154" i="8"/>
  <c r="F306" i="8"/>
  <c r="H562" i="8"/>
  <c r="I562" i="8" s="1"/>
  <c r="H156" i="8"/>
  <c r="I156" i="8" s="1"/>
  <c r="H975" i="8"/>
  <c r="I975" i="8" s="1"/>
  <c r="H548" i="8"/>
  <c r="I548" i="8"/>
  <c r="F548" i="8"/>
  <c r="F834" i="8"/>
  <c r="H834" i="8"/>
  <c r="I834" i="8"/>
  <c r="F545" i="8"/>
  <c r="H545" i="8"/>
  <c r="I545" i="8"/>
  <c r="H682" i="8"/>
  <c r="I682" i="8"/>
  <c r="F682" i="8"/>
  <c r="F690" i="8"/>
  <c r="H690" i="8"/>
  <c r="I690" i="8"/>
  <c r="F358" i="8"/>
  <c r="H358" i="8"/>
  <c r="I358" i="8"/>
  <c r="H862" i="8"/>
  <c r="I862" i="8" s="1"/>
  <c r="F132" i="8"/>
  <c r="F1197" i="8"/>
  <c r="I1197" i="8"/>
  <c r="H1197" i="8"/>
  <c r="I1227" i="8"/>
  <c r="F1227" i="8"/>
  <c r="H1227" i="8"/>
  <c r="I1223" i="8"/>
  <c r="H1223" i="8"/>
  <c r="F1223" i="8"/>
  <c r="H786" i="8"/>
  <c r="I786" i="8"/>
  <c r="F786" i="8"/>
  <c r="F1084" i="8"/>
  <c r="H1084" i="8"/>
  <c r="I1084" i="8"/>
  <c r="F1202" i="8"/>
  <c r="I1202" i="8"/>
  <c r="H1202" i="8"/>
  <c r="I1231" i="8"/>
  <c r="F1231" i="8"/>
  <c r="H1231" i="8"/>
  <c r="I400" i="8"/>
  <c r="F400" i="8"/>
  <c r="H400" i="8"/>
  <c r="F748" i="8"/>
  <c r="H748" i="8"/>
  <c r="I748" i="8"/>
  <c r="F788" i="8"/>
  <c r="I788" i="8"/>
  <c r="H788" i="8"/>
  <c r="F990" i="8"/>
  <c r="H990" i="8"/>
  <c r="I990" i="8"/>
  <c r="F763" i="8"/>
  <c r="I763" i="8"/>
  <c r="H763" i="8"/>
  <c r="I1191" i="8"/>
  <c r="F1191" i="8"/>
  <c r="H1191" i="8"/>
  <c r="I1210" i="8"/>
  <c r="H1210" i="8"/>
  <c r="F1210" i="8"/>
  <c r="F638" i="8"/>
  <c r="H638" i="8"/>
  <c r="I638" i="8"/>
  <c r="F615" i="8"/>
  <c r="I615" i="8"/>
  <c r="H615" i="8"/>
  <c r="F836" i="8"/>
  <c r="H836" i="8"/>
  <c r="I836" i="8"/>
  <c r="H549" i="8"/>
  <c r="F549" i="8"/>
  <c r="I549" i="8"/>
  <c r="F658" i="8"/>
  <c r="I658" i="8"/>
  <c r="H658" i="8"/>
  <c r="F469" i="8"/>
  <c r="H469" i="8"/>
  <c r="I469" i="8"/>
  <c r="F669" i="8"/>
  <c r="I669" i="8"/>
  <c r="H669" i="8"/>
  <c r="F295" i="8"/>
  <c r="H295" i="8"/>
  <c r="I295" i="8"/>
  <c r="I589" i="8"/>
  <c r="F589" i="8"/>
  <c r="H589" i="8"/>
  <c r="I844" i="8"/>
  <c r="F844" i="8"/>
  <c r="H844" i="8"/>
  <c r="F724" i="8"/>
  <c r="I724" i="8"/>
  <c r="H724" i="8"/>
  <c r="F402" i="8"/>
  <c r="I402" i="8"/>
  <c r="H402" i="8"/>
  <c r="H450" i="8"/>
  <c r="I450" i="8"/>
  <c r="F450" i="8"/>
  <c r="F623" i="8"/>
  <c r="H623" i="8"/>
  <c r="I623" i="8"/>
  <c r="F599" i="8"/>
  <c r="H599" i="8"/>
  <c r="I599" i="8"/>
  <c r="I740" i="8"/>
  <c r="H740" i="8"/>
  <c r="F740" i="8"/>
  <c r="F730" i="8"/>
  <c r="H730" i="8"/>
  <c r="I730" i="8"/>
  <c r="F431" i="8"/>
  <c r="I431" i="8"/>
  <c r="H431" i="8"/>
  <c r="F787" i="8"/>
  <c r="H787" i="8"/>
  <c r="I787" i="8"/>
  <c r="H455" i="8"/>
  <c r="F455" i="8"/>
  <c r="I455" i="8"/>
  <c r="I703" i="8"/>
  <c r="H703" i="8"/>
  <c r="F703" i="8"/>
  <c r="F686" i="8"/>
  <c r="H686" i="8"/>
  <c r="I686" i="8"/>
  <c r="H820" i="8"/>
  <c r="I820" i="8"/>
  <c r="F820" i="8"/>
  <c r="I438" i="8"/>
  <c r="F438" i="8"/>
  <c r="H438" i="8"/>
  <c r="H601" i="5"/>
  <c r="E116" i="8" s="1"/>
  <c r="F654" i="8"/>
  <c r="H654" i="8"/>
  <c r="I654" i="8"/>
  <c r="F1011" i="8"/>
  <c r="I1011" i="8"/>
  <c r="H1011" i="8"/>
  <c r="F464" i="8"/>
  <c r="H464" i="8"/>
  <c r="I464" i="8"/>
  <c r="F552" i="8"/>
  <c r="H552" i="8"/>
  <c r="I552" i="8"/>
  <c r="F524" i="8"/>
  <c r="H524" i="8"/>
  <c r="I524" i="8"/>
  <c r="F481" i="8"/>
  <c r="H481" i="8"/>
  <c r="I481" i="8"/>
  <c r="I802" i="8"/>
  <c r="F802" i="8"/>
  <c r="H802" i="8"/>
  <c r="I478" i="8"/>
  <c r="H478" i="8"/>
  <c r="F478" i="8"/>
  <c r="F756" i="8"/>
  <c r="H756" i="8"/>
  <c r="I756" i="8"/>
  <c r="F426" i="8"/>
  <c r="I426" i="8"/>
  <c r="H426" i="8"/>
  <c r="F711" i="8"/>
  <c r="H711" i="8"/>
  <c r="I711" i="8"/>
  <c r="F294" i="8"/>
  <c r="I294" i="8"/>
  <c r="H294" i="8"/>
  <c r="F532" i="8"/>
  <c r="H532" i="8"/>
  <c r="I532" i="8"/>
  <c r="H31" i="8"/>
  <c r="I31" i="8" s="1"/>
  <c r="F109" i="8"/>
  <c r="H320" i="8"/>
  <c r="I320" i="8" s="1"/>
  <c r="F299" i="8"/>
  <c r="H272" i="8"/>
  <c r="I272" i="8" s="1"/>
  <c r="H301" i="8"/>
  <c r="I301" i="8" s="1"/>
  <c r="H875" i="8"/>
  <c r="I875" i="8" s="1"/>
  <c r="H359" i="8"/>
  <c r="I359" i="8" s="1"/>
  <c r="F1287" i="8"/>
  <c r="H1253" i="8"/>
  <c r="I1253" i="8" s="1"/>
  <c r="H983" i="8"/>
  <c r="I983" i="8" s="1"/>
  <c r="I540" i="8"/>
  <c r="F540" i="8"/>
  <c r="H540" i="8"/>
  <c r="F827" i="8"/>
  <c r="H827" i="8"/>
  <c r="I827" i="8"/>
  <c r="F1193" i="8"/>
  <c r="I1193" i="8"/>
  <c r="H1193" i="8"/>
  <c r="F1007" i="8"/>
  <c r="H1007" i="8"/>
  <c r="I1007" i="8"/>
  <c r="I811" i="8"/>
  <c r="H811" i="8"/>
  <c r="F811" i="8"/>
  <c r="F468" i="8"/>
  <c r="I468" i="8"/>
  <c r="H468" i="8"/>
  <c r="I695" i="8"/>
  <c r="H695" i="8"/>
  <c r="F695" i="8"/>
  <c r="I687" i="8"/>
  <c r="F687" i="8"/>
  <c r="H687" i="8"/>
  <c r="I779" i="8"/>
  <c r="H779" i="8"/>
  <c r="F779" i="8"/>
  <c r="F1225" i="8"/>
  <c r="I1225" i="8"/>
  <c r="H1225" i="8"/>
  <c r="F74" i="8"/>
  <c r="H74" i="8"/>
  <c r="I74" i="8"/>
  <c r="H762" i="8"/>
  <c r="I762" i="8"/>
  <c r="F762" i="8"/>
  <c r="F553" i="8"/>
  <c r="I553" i="8"/>
  <c r="H553" i="8"/>
  <c r="F1234" i="8"/>
  <c r="H1234" i="8"/>
  <c r="I1234" i="8"/>
  <c r="F1054" i="8"/>
  <c r="H1054" i="8"/>
  <c r="I1054" i="8"/>
  <c r="I621" i="8"/>
  <c r="F621" i="8"/>
  <c r="H621" i="8"/>
  <c r="F956" i="8"/>
  <c r="F1248" i="8"/>
  <c r="I405" i="8"/>
  <c r="F405" i="8"/>
  <c r="H405" i="8"/>
  <c r="H906" i="8"/>
  <c r="I906" i="8" s="1"/>
  <c r="F622" i="8"/>
  <c r="I622" i="8"/>
  <c r="H622" i="8"/>
  <c r="H1186" i="8"/>
  <c r="I1186" i="8"/>
  <c r="F1186" i="8"/>
  <c r="H442" i="8"/>
  <c r="F442" i="8"/>
  <c r="I442" i="8"/>
  <c r="H674" i="8"/>
  <c r="I674" i="8"/>
  <c r="F674" i="8"/>
  <c r="F561" i="8"/>
  <c r="H561" i="8"/>
  <c r="I561" i="8"/>
  <c r="H835" i="8"/>
  <c r="F835" i="8"/>
  <c r="I835" i="8"/>
  <c r="I408" i="8"/>
  <c r="H408" i="8"/>
  <c r="F408" i="8"/>
  <c r="F1243" i="8"/>
  <c r="I1243" i="8"/>
  <c r="H1243" i="8"/>
  <c r="I650" i="8"/>
  <c r="F650" i="8"/>
  <c r="H650" i="8"/>
  <c r="F541" i="8"/>
  <c r="I541" i="8"/>
  <c r="H541" i="8"/>
  <c r="F679" i="8"/>
  <c r="H679" i="8"/>
  <c r="I679" i="8"/>
  <c r="F594" i="8"/>
  <c r="I594" i="8"/>
  <c r="H594" i="8"/>
  <c r="I466" i="8"/>
  <c r="H466" i="8"/>
  <c r="F466" i="8"/>
  <c r="F723" i="8"/>
  <c r="H723" i="8"/>
  <c r="I723" i="8"/>
  <c r="F731" i="8"/>
  <c r="H731" i="8"/>
  <c r="I731" i="8"/>
  <c r="F637" i="8"/>
  <c r="H637" i="8"/>
  <c r="I637" i="8"/>
  <c r="F23" i="8"/>
  <c r="H888" i="8"/>
  <c r="I888" i="8" s="1"/>
  <c r="H962" i="8"/>
  <c r="I962" i="8" s="1"/>
  <c r="H1270" i="8"/>
  <c r="I1270" i="8" s="1"/>
  <c r="H861" i="8"/>
  <c r="I861" i="8" s="1"/>
  <c r="F1245" i="8"/>
  <c r="H1276" i="8"/>
  <c r="I1276" i="8" s="1"/>
  <c r="H4793" i="5"/>
  <c r="E1266" i="8" s="1"/>
  <c r="F1250" i="8"/>
  <c r="F971" i="8"/>
  <c r="F482" i="8"/>
  <c r="I482" i="8"/>
  <c r="H482" i="8"/>
  <c r="F826" i="8"/>
  <c r="H826" i="8"/>
  <c r="I826" i="8"/>
  <c r="F58" i="8"/>
  <c r="I58" i="8"/>
  <c r="H58" i="8"/>
  <c r="F590" i="8"/>
  <c r="I590" i="8"/>
  <c r="H590" i="8"/>
  <c r="H709" i="8"/>
  <c r="I709" i="8"/>
  <c r="F709" i="8"/>
  <c r="H653" i="8"/>
  <c r="I653" i="8"/>
  <c r="F653" i="8"/>
  <c r="F1194" i="8"/>
  <c r="H1194" i="8"/>
  <c r="I1194" i="8"/>
  <c r="G1723" i="5"/>
  <c r="I1183" i="8"/>
  <c r="H1183" i="8"/>
  <c r="F1183" i="8"/>
  <c r="F1242" i="8"/>
  <c r="I1242" i="8"/>
  <c r="H1242" i="8"/>
  <c r="I1350" i="8"/>
  <c r="H1350" i="8"/>
  <c r="F1350" i="8"/>
  <c r="F606" i="8"/>
  <c r="H606" i="8"/>
  <c r="I606" i="8"/>
  <c r="I407" i="8"/>
  <c r="H407" i="8"/>
  <c r="F407" i="8"/>
  <c r="F647" i="8"/>
  <c r="I647" i="8"/>
  <c r="H647" i="8"/>
  <c r="F795" i="8"/>
  <c r="I795" i="8"/>
  <c r="H795" i="8"/>
  <c r="F732" i="8"/>
  <c r="I732" i="8"/>
  <c r="H732" i="8"/>
  <c r="I471" i="8"/>
  <c r="F471" i="8"/>
  <c r="H471" i="8"/>
  <c r="I73" i="8"/>
  <c r="H73" i="8"/>
  <c r="F73" i="8"/>
  <c r="G1756" i="5"/>
  <c r="I1151" i="8"/>
  <c r="H1151" i="8"/>
  <c r="F1151" i="8"/>
  <c r="H1022" i="8"/>
  <c r="F1022" i="8"/>
  <c r="I1022" i="8"/>
  <c r="I631" i="8"/>
  <c r="H631" i="8"/>
  <c r="F631" i="8"/>
  <c r="F77" i="8"/>
  <c r="I77" i="8"/>
  <c r="H77" i="8"/>
  <c r="F525" i="8"/>
  <c r="H525" i="8"/>
  <c r="I525" i="8"/>
  <c r="H755" i="8"/>
  <c r="I755" i="8"/>
  <c r="F755" i="8"/>
  <c r="F529" i="8"/>
  <c r="I529" i="8"/>
  <c r="H529" i="8"/>
  <c r="F394" i="8"/>
  <c r="H394" i="8"/>
  <c r="I394" i="8"/>
  <c r="F693" i="8"/>
  <c r="I693" i="8"/>
  <c r="H693" i="8"/>
  <c r="F1307" i="8"/>
  <c r="H1307" i="8"/>
  <c r="I1307" i="8"/>
  <c r="G1745" i="5"/>
  <c r="H607" i="8"/>
  <c r="F607" i="8"/>
  <c r="I607" i="8"/>
  <c r="H502" i="8"/>
  <c r="F502" i="8"/>
  <c r="I502" i="8"/>
  <c r="I422" i="8"/>
  <c r="H422" i="8"/>
  <c r="F422" i="8"/>
  <c r="H451" i="8"/>
  <c r="F451" i="8"/>
  <c r="I451" i="8"/>
  <c r="F551" i="8"/>
  <c r="I551" i="8"/>
  <c r="H551" i="8"/>
  <c r="F398" i="8"/>
  <c r="I398" i="8"/>
  <c r="H398" i="8"/>
  <c r="I427" i="8"/>
  <c r="F427" i="8"/>
  <c r="H427" i="8"/>
  <c r="F1040" i="8"/>
  <c r="H1040" i="8"/>
  <c r="I1040" i="8"/>
  <c r="F771" i="8"/>
  <c r="H771" i="8"/>
  <c r="I771" i="8"/>
  <c r="F780" i="8"/>
  <c r="H780" i="8"/>
  <c r="I780" i="8"/>
  <c r="F819" i="8"/>
  <c r="H819" i="8"/>
  <c r="I819" i="8"/>
  <c r="F556" i="8"/>
  <c r="H556" i="8"/>
  <c r="I556" i="8"/>
  <c r="F613" i="8"/>
  <c r="H613" i="8"/>
  <c r="I613" i="8"/>
  <c r="F1003" i="8"/>
  <c r="H1003" i="8"/>
  <c r="I1003" i="8"/>
  <c r="F747" i="8"/>
  <c r="H747" i="8"/>
  <c r="I747" i="8"/>
  <c r="F804" i="8"/>
  <c r="H804" i="8"/>
  <c r="I804" i="8"/>
  <c r="F796" i="8"/>
  <c r="H796" i="8"/>
  <c r="I796" i="8"/>
  <c r="F486" i="8"/>
  <c r="H486" i="8"/>
  <c r="I486" i="8"/>
  <c r="H514" i="8"/>
  <c r="I514" i="8" s="1"/>
  <c r="F514" i="8"/>
  <c r="H701" i="8"/>
  <c r="I701" i="8"/>
  <c r="F701" i="8"/>
  <c r="F591" i="8"/>
  <c r="I591" i="8"/>
  <c r="H591" i="8"/>
  <c r="F1159" i="8"/>
  <c r="H1156" i="8"/>
  <c r="I1156" i="8" s="1"/>
  <c r="F59" i="8"/>
  <c r="I59" i="8"/>
  <c r="H59" i="8"/>
  <c r="F65" i="8"/>
  <c r="H65" i="8"/>
  <c r="I65" i="8"/>
  <c r="F702" i="8"/>
  <c r="H702" i="8"/>
  <c r="I702" i="8"/>
  <c r="H1195" i="8"/>
  <c r="I1195" i="8"/>
  <c r="F1195" i="8"/>
  <c r="F698" i="8"/>
  <c r="H698" i="8"/>
  <c r="I698" i="8"/>
  <c r="F1024" i="8"/>
  <c r="I1024" i="8"/>
  <c r="H1024" i="8"/>
  <c r="I677" i="8"/>
  <c r="F677" i="8"/>
  <c r="H677" i="8"/>
  <c r="F293" i="8"/>
  <c r="I293" i="8"/>
  <c r="H293" i="8"/>
  <c r="H670" i="8"/>
  <c r="F670" i="8"/>
  <c r="I670" i="8"/>
  <c r="I521" i="8"/>
  <c r="F521" i="8"/>
  <c r="H521" i="8"/>
  <c r="G1714" i="5"/>
  <c r="F443" i="8"/>
  <c r="I443" i="8"/>
  <c r="H443" i="8"/>
  <c r="I66" i="8"/>
  <c r="H66" i="8"/>
  <c r="F66" i="8"/>
  <c r="H533" i="8"/>
  <c r="F533" i="8"/>
  <c r="I533" i="8"/>
  <c r="H1192" i="8"/>
  <c r="F1192" i="8"/>
  <c r="I1192" i="8"/>
  <c r="H739" i="8"/>
  <c r="I739" i="8"/>
  <c r="F739" i="8"/>
  <c r="F843" i="8"/>
  <c r="H843" i="8"/>
  <c r="I843" i="8"/>
  <c r="F1050" i="8"/>
  <c r="H1050" i="8"/>
  <c r="I1050" i="8"/>
  <c r="H818" i="8"/>
  <c r="I818" i="8"/>
  <c r="F818" i="8"/>
  <c r="F1030" i="8"/>
  <c r="I1030" i="8"/>
  <c r="H1030" i="8"/>
  <c r="F803" i="8"/>
  <c r="H803" i="8"/>
  <c r="I803" i="8"/>
  <c r="I70" i="8"/>
  <c r="F70" i="8"/>
  <c r="H70" i="8"/>
  <c r="F423" i="8"/>
  <c r="I423" i="8"/>
  <c r="H423" i="8"/>
  <c r="G3843" i="5"/>
  <c r="H794" i="8"/>
  <c r="F794" i="8"/>
  <c r="I794" i="8"/>
  <c r="F1218" i="8"/>
  <c r="I1218" i="8"/>
  <c r="H1218" i="8"/>
  <c r="H984" i="8"/>
  <c r="F984" i="8"/>
  <c r="I984" i="8"/>
  <c r="H1265" i="8"/>
  <c r="I1265" i="8" s="1"/>
  <c r="I1038" i="8"/>
  <c r="F1038" i="8"/>
  <c r="H1038" i="8"/>
  <c r="F497" i="8"/>
  <c r="I497" i="8"/>
  <c r="H497" i="8"/>
  <c r="H968" i="8"/>
  <c r="I968" i="8"/>
  <c r="F968" i="8"/>
  <c r="F661" i="8"/>
  <c r="H661" i="8"/>
  <c r="I661" i="8"/>
  <c r="F655" i="8"/>
  <c r="H655" i="8"/>
  <c r="I655" i="8"/>
  <c r="F663" i="8"/>
  <c r="H663" i="8"/>
  <c r="I663" i="8"/>
  <c r="I139" i="8"/>
  <c r="F139" i="8"/>
  <c r="H139" i="8"/>
  <c r="F1226" i="8"/>
  <c r="H1226" i="8"/>
  <c r="I1226" i="8"/>
  <c r="I557" i="8"/>
  <c r="H557" i="8"/>
  <c r="F557" i="8"/>
  <c r="I432" i="8"/>
  <c r="F432" i="8"/>
  <c r="H432" i="8"/>
  <c r="F645" i="8"/>
  <c r="I645" i="8"/>
  <c r="H645" i="8"/>
  <c r="F642" i="8"/>
  <c r="H642" i="8"/>
  <c r="I642" i="8"/>
  <c r="F634" i="8"/>
  <c r="H634" i="8"/>
  <c r="I634" i="8"/>
  <c r="H399" i="8"/>
  <c r="F399" i="8"/>
  <c r="I399" i="8"/>
  <c r="H764" i="8"/>
  <c r="F764" i="8"/>
  <c r="I764" i="8"/>
  <c r="F76" i="8"/>
  <c r="I76" i="8"/>
  <c r="H76" i="8"/>
  <c r="H319" i="8"/>
  <c r="I319" i="8" s="1"/>
  <c r="H171" i="8"/>
  <c r="I171" i="8" s="1"/>
  <c r="H315" i="8"/>
  <c r="I315" i="8" s="1"/>
  <c r="F1246" i="8"/>
  <c r="F1275" i="8"/>
  <c r="H1058" i="8"/>
  <c r="I1058" i="8" s="1"/>
  <c r="F1045" i="8"/>
  <c r="H1045" i="8"/>
  <c r="I1045" i="8"/>
  <c r="F636" i="8"/>
  <c r="H636" i="8"/>
  <c r="I636" i="8"/>
  <c r="F108" i="8"/>
  <c r="F406" i="8"/>
  <c r="I406" i="8"/>
  <c r="H406" i="8"/>
  <c r="F1325" i="8"/>
  <c r="H1325" i="8"/>
  <c r="I1325" i="8" s="1"/>
  <c r="H845" i="8"/>
  <c r="I845" i="8"/>
  <c r="F845" i="8"/>
  <c r="F374" i="8"/>
  <c r="F333" i="8"/>
  <c r="H830" i="8"/>
  <c r="F830" i="8"/>
  <c r="I830" i="8"/>
  <c r="H1285" i="8"/>
  <c r="I1285" i="8" s="1"/>
  <c r="F52" i="8"/>
  <c r="H52" i="8"/>
  <c r="I52" i="8"/>
  <c r="F175" i="8"/>
  <c r="F516" i="8"/>
  <c r="H516" i="8"/>
  <c r="I516" i="8" s="1"/>
  <c r="F1051" i="8"/>
  <c r="I1051" i="8"/>
  <c r="H1051" i="8"/>
  <c r="F598" i="8"/>
  <c r="H598" i="8"/>
  <c r="I598" i="8"/>
  <c r="F927" i="8"/>
  <c r="F775" i="8"/>
  <c r="I775" i="8"/>
  <c r="H775" i="8"/>
  <c r="F1009" i="8"/>
  <c r="H1009" i="8"/>
  <c r="I1009" i="8"/>
  <c r="F543" i="8"/>
  <c r="I543" i="8"/>
  <c r="H543" i="8"/>
  <c r="F1086" i="8"/>
  <c r="H1086" i="8"/>
  <c r="I1086" i="8"/>
  <c r="F484" i="8"/>
  <c r="I484" i="8"/>
  <c r="H484" i="8"/>
  <c r="H71" i="8"/>
  <c r="F71" i="8"/>
  <c r="I71" i="8"/>
  <c r="F1056" i="8"/>
  <c r="I1056" i="8"/>
  <c r="H1056" i="8"/>
  <c r="F1027" i="8"/>
  <c r="H1027" i="8"/>
  <c r="I1027" i="8"/>
  <c r="I520" i="8"/>
  <c r="F520" i="8"/>
  <c r="H520" i="8"/>
  <c r="F805" i="8"/>
  <c r="H805" i="8"/>
  <c r="I805" i="8"/>
  <c r="F708" i="8"/>
  <c r="H708" i="8"/>
  <c r="I708" i="8"/>
  <c r="F454" i="8"/>
  <c r="I454" i="8"/>
  <c r="H454" i="8"/>
  <c r="I1001" i="8"/>
  <c r="F1001" i="8"/>
  <c r="H1001" i="8"/>
  <c r="F683" i="8"/>
  <c r="I683" i="8"/>
  <c r="H683" i="8"/>
  <c r="F672" i="8"/>
  <c r="H672" i="8"/>
  <c r="I672" i="8"/>
  <c r="F948" i="8"/>
  <c r="H237" i="8"/>
  <c r="I237" i="8" s="1"/>
  <c r="F195" i="8"/>
  <c r="F292" i="8"/>
  <c r="I292" i="8"/>
  <c r="H292" i="8"/>
  <c r="F1098" i="8"/>
  <c r="F1055" i="8"/>
  <c r="H1055" i="8"/>
  <c r="I1055" i="8"/>
  <c r="F112" i="8"/>
  <c r="H178" i="8"/>
  <c r="I178" i="8" s="1"/>
  <c r="F850" i="8"/>
  <c r="F64" i="8"/>
  <c r="H64" i="8"/>
  <c r="I64" i="8"/>
  <c r="F487" i="8"/>
  <c r="I487" i="8"/>
  <c r="H487" i="8"/>
  <c r="F644" i="8"/>
  <c r="H644" i="8"/>
  <c r="I644" i="8"/>
  <c r="H974" i="8"/>
  <c r="F974" i="8"/>
  <c r="I974" i="8"/>
  <c r="F534" i="8"/>
  <c r="H534" i="8"/>
  <c r="I534" i="8"/>
  <c r="I799" i="8"/>
  <c r="F799" i="8"/>
  <c r="H799" i="8"/>
  <c r="F474" i="8"/>
  <c r="H474" i="8"/>
  <c r="I474" i="8"/>
  <c r="H291" i="8"/>
  <c r="I291" i="8"/>
  <c r="F291" i="8"/>
  <c r="I1005" i="8"/>
  <c r="H1005" i="8"/>
  <c r="F1005" i="8"/>
  <c r="H2243" i="5"/>
  <c r="F1014" i="8"/>
  <c r="I1014" i="8"/>
  <c r="H1014" i="8"/>
  <c r="F457" i="8"/>
  <c r="H457" i="8"/>
  <c r="I457" i="8"/>
  <c r="H1029" i="8"/>
  <c r="I1029" i="8"/>
  <c r="F1029" i="8"/>
  <c r="I397" i="8"/>
  <c r="H397" i="8"/>
  <c r="F397" i="8"/>
  <c r="F453" i="8"/>
  <c r="H453" i="8"/>
  <c r="I453" i="8"/>
  <c r="F753" i="8"/>
  <c r="I753" i="8"/>
  <c r="H753" i="8"/>
  <c r="F1012" i="8"/>
  <c r="H1012" i="8"/>
  <c r="I1012" i="8"/>
  <c r="F1000" i="8"/>
  <c r="H1000" i="8"/>
  <c r="I1000" i="8"/>
  <c r="G3617" i="5"/>
  <c r="H1289" i="8"/>
  <c r="I1289" i="8" s="1"/>
  <c r="F614" i="8"/>
  <c r="I614" i="8"/>
  <c r="H614" i="8"/>
  <c r="F1004" i="8"/>
  <c r="H1004" i="8"/>
  <c r="I1004" i="8"/>
  <c r="H1096" i="8"/>
  <c r="I1096" i="8"/>
  <c r="F1096" i="8"/>
  <c r="I1048" i="8"/>
  <c r="H1048" i="8"/>
  <c r="F1048" i="8"/>
  <c r="I1343" i="8"/>
  <c r="F1343" i="8"/>
  <c r="H1343" i="8"/>
  <c r="F569" i="8"/>
  <c r="H569" i="8"/>
  <c r="I569" i="8" s="1"/>
  <c r="F531" i="8"/>
  <c r="H531" i="8"/>
  <c r="I531" i="8"/>
  <c r="F1310" i="8"/>
  <c r="H1310" i="8"/>
  <c r="I1310" i="8"/>
  <c r="F1222" i="8"/>
  <c r="I1222" i="8"/>
  <c r="H1222" i="8"/>
  <c r="F765" i="8"/>
  <c r="I765" i="8"/>
  <c r="H765" i="8"/>
  <c r="F824" i="8"/>
  <c r="I824" i="8"/>
  <c r="H824" i="8"/>
  <c r="F945" i="8"/>
  <c r="H174" i="8"/>
  <c r="I174" i="8" s="1"/>
  <c r="F1031" i="8"/>
  <c r="I1031" i="8"/>
  <c r="H1031" i="8"/>
  <c r="F542" i="8"/>
  <c r="I542" i="8"/>
  <c r="H542" i="8"/>
  <c r="F838" i="8"/>
  <c r="H838" i="8"/>
  <c r="I838" i="8"/>
  <c r="F458" i="8"/>
  <c r="I458" i="8"/>
  <c r="H458" i="8"/>
  <c r="F604" i="8"/>
  <c r="I604" i="8"/>
  <c r="H604" i="8"/>
  <c r="H128" i="8"/>
  <c r="I128" i="8" s="1"/>
  <c r="F526" i="8"/>
  <c r="I526" i="8"/>
  <c r="H526" i="8"/>
  <c r="I813" i="8"/>
  <c r="F813" i="8"/>
  <c r="H813" i="8"/>
  <c r="H920" i="8"/>
  <c r="I920" i="8" s="1"/>
  <c r="F1305" i="8"/>
  <c r="I1305" i="8"/>
  <c r="H1305" i="8"/>
  <c r="F350" i="8"/>
  <c r="F1189" i="8"/>
  <c r="H1189" i="8"/>
  <c r="I1189" i="8"/>
  <c r="F630" i="8"/>
  <c r="I630" i="8"/>
  <c r="H630" i="8"/>
  <c r="F1259" i="8"/>
  <c r="H1259" i="8"/>
  <c r="I1259" i="8"/>
  <c r="F193" i="8"/>
  <c r="F1149" i="8"/>
  <c r="H1149" i="8"/>
  <c r="I1149" i="8"/>
  <c r="F1020" i="8"/>
  <c r="H1020" i="8"/>
  <c r="I1020" i="8"/>
  <c r="F60" i="8"/>
  <c r="I60" i="8"/>
  <c r="H60" i="8"/>
  <c r="H395" i="8"/>
  <c r="F395" i="8"/>
  <c r="I395" i="8"/>
  <c r="F267" i="8"/>
  <c r="F1145" i="8"/>
  <c r="F1120" i="8"/>
  <c r="F560" i="8"/>
  <c r="H560" i="8"/>
  <c r="I560" i="8"/>
  <c r="F510" i="8"/>
  <c r="H510" i="8"/>
  <c r="I510" i="8" s="1"/>
  <c r="F329" i="8"/>
  <c r="F676" i="8"/>
  <c r="I676" i="8"/>
  <c r="H676" i="8"/>
  <c r="H213" i="8"/>
  <c r="I213" i="8" s="1"/>
  <c r="F523" i="8"/>
  <c r="H523" i="8"/>
  <c r="I523" i="8"/>
  <c r="F20" i="8"/>
  <c r="H20" i="8"/>
  <c r="I20" i="8" s="1"/>
  <c r="I1355" i="8"/>
  <c r="H1355" i="8"/>
  <c r="F1355" i="8"/>
  <c r="H547" i="8"/>
  <c r="I547" i="8"/>
  <c r="F547" i="8"/>
  <c r="F371" i="8"/>
  <c r="F229" i="8"/>
  <c r="H185" i="8"/>
  <c r="I185" i="8" s="1"/>
  <c r="F1113" i="8"/>
  <c r="F759" i="8"/>
  <c r="I759" i="8"/>
  <c r="H759" i="8"/>
  <c r="I657" i="8"/>
  <c r="F657" i="8"/>
  <c r="H657" i="8"/>
  <c r="H261" i="8"/>
  <c r="I261" i="8" s="1"/>
  <c r="F485" i="8"/>
  <c r="H485" i="8"/>
  <c r="I485" i="8"/>
  <c r="I773" i="8"/>
  <c r="F773" i="8"/>
  <c r="H773" i="8"/>
  <c r="F1176" i="8"/>
  <c r="F692" i="8"/>
  <c r="H692" i="8"/>
  <c r="I692" i="8"/>
  <c r="G3636" i="5"/>
  <c r="F37" i="8"/>
  <c r="I840" i="8"/>
  <c r="F840" i="8"/>
  <c r="H840" i="8"/>
  <c r="F546" i="8"/>
  <c r="H546" i="8"/>
  <c r="I546" i="8"/>
  <c r="F801" i="8"/>
  <c r="H801" i="8"/>
  <c r="I801" i="8"/>
  <c r="H781" i="8"/>
  <c r="I781" i="8"/>
  <c r="F781" i="8"/>
  <c r="F1205" i="8"/>
  <c r="I1205" i="8"/>
  <c r="H1205" i="8"/>
  <c r="F388" i="8"/>
  <c r="I388" i="8"/>
  <c r="H388" i="8"/>
  <c r="H1235" i="8"/>
  <c r="F1235" i="8"/>
  <c r="I1235" i="8"/>
  <c r="F479" i="8"/>
  <c r="I479" i="8"/>
  <c r="H479" i="8"/>
  <c r="F704" i="8"/>
  <c r="H704" i="8"/>
  <c r="I704" i="8"/>
  <c r="I403" i="8"/>
  <c r="F403" i="8"/>
  <c r="H403" i="8"/>
  <c r="I167" i="8"/>
  <c r="F167" i="8"/>
  <c r="H167" i="8"/>
  <c r="F341" i="8"/>
  <c r="I1091" i="8"/>
  <c r="F1091" i="8"/>
  <c r="H1091" i="8"/>
  <c r="F499" i="8"/>
  <c r="H499" i="8"/>
  <c r="I499" i="8" s="1"/>
  <c r="F627" i="8"/>
  <c r="I627" i="8"/>
  <c r="H627" i="8"/>
  <c r="F1190" i="8"/>
  <c r="I1190" i="8"/>
  <c r="H1190" i="8"/>
  <c r="F823" i="8"/>
  <c r="H823" i="8"/>
  <c r="I823" i="8"/>
  <c r="F401" i="8"/>
  <c r="H401" i="8"/>
  <c r="I401" i="8"/>
  <c r="F372" i="8"/>
  <c r="I462" i="8"/>
  <c r="H462" i="8"/>
  <c r="F462" i="8"/>
  <c r="I839" i="8"/>
  <c r="H839" i="8"/>
  <c r="F839" i="8"/>
  <c r="H854" i="8"/>
  <c r="I854" i="8" s="1"/>
  <c r="H2313" i="5"/>
  <c r="F790" i="8"/>
  <c r="H790" i="8"/>
  <c r="I790" i="8"/>
  <c r="H559" i="8"/>
  <c r="F559" i="8"/>
  <c r="I559" i="8"/>
  <c r="H736" i="8"/>
  <c r="F736" i="8"/>
  <c r="I736" i="8"/>
  <c r="F1071" i="8"/>
  <c r="F624" i="8"/>
  <c r="I624" i="8"/>
  <c r="H624" i="8"/>
  <c r="H215" i="8"/>
  <c r="I215" i="8" s="1"/>
  <c r="F727" i="8"/>
  <c r="H727" i="8"/>
  <c r="I727" i="8"/>
  <c r="H4959" i="5"/>
  <c r="E1301" i="8" s="1"/>
  <c r="F1274" i="8"/>
  <c r="F829" i="8"/>
  <c r="I829" i="8"/>
  <c r="H829" i="8"/>
  <c r="F296" i="8"/>
  <c r="H296" i="8"/>
  <c r="I296" i="8"/>
  <c r="H188" i="8"/>
  <c r="I188" i="8" s="1"/>
  <c r="F726" i="8"/>
  <c r="H726" i="8"/>
  <c r="I726" i="8"/>
  <c r="F851" i="8"/>
  <c r="H783" i="8"/>
  <c r="F783" i="8"/>
  <c r="I783" i="8"/>
  <c r="G2395" i="5"/>
  <c r="I1041" i="8"/>
  <c r="H1041" i="8"/>
  <c r="F1041" i="8"/>
  <c r="F684" i="8"/>
  <c r="H684" i="8"/>
  <c r="I684" i="8"/>
  <c r="I456" i="8"/>
  <c r="H456" i="8"/>
  <c r="F456" i="8"/>
  <c r="F1032" i="8"/>
  <c r="H1032" i="8"/>
  <c r="I1032" i="8"/>
  <c r="F297" i="8"/>
  <c r="H297" i="8"/>
  <c r="I297" i="8"/>
  <c r="F815" i="8"/>
  <c r="I815" i="8"/>
  <c r="H815" i="8"/>
  <c r="F1130" i="8"/>
  <c r="F337" i="8"/>
  <c r="F168" i="8"/>
  <c r="H168" i="8"/>
  <c r="I168" i="8"/>
  <c r="F1061" i="8"/>
  <c r="I1061" i="8"/>
  <c r="H1061" i="8"/>
  <c r="F798" i="8"/>
  <c r="H798" i="8"/>
  <c r="I798" i="8"/>
  <c r="H649" i="8"/>
  <c r="F649" i="8"/>
  <c r="I649" i="8"/>
  <c r="G3157" i="5"/>
  <c r="H1043" i="8"/>
  <c r="F1043" i="8"/>
  <c r="I1043" i="8"/>
  <c r="F63" i="8"/>
  <c r="H63" i="8"/>
  <c r="I63" i="8"/>
  <c r="F580" i="8"/>
  <c r="H580" i="8"/>
  <c r="I580" i="8" s="1"/>
  <c r="F134" i="8"/>
  <c r="F519" i="8"/>
  <c r="H519" i="8"/>
  <c r="I519" i="8" s="1"/>
  <c r="I1105" i="8"/>
  <c r="H1105" i="8"/>
  <c r="F1105" i="8"/>
  <c r="F1103" i="8"/>
  <c r="G3886" i="5"/>
  <c r="F660" i="8"/>
  <c r="H660" i="8"/>
  <c r="I660" i="8"/>
  <c r="I1282" i="8"/>
  <c r="H1282" i="8"/>
  <c r="F1282" i="8"/>
  <c r="F707" i="8"/>
  <c r="H707" i="8"/>
  <c r="I707" i="8"/>
  <c r="F1207" i="8"/>
  <c r="I1207" i="8"/>
  <c r="H1207" i="8"/>
  <c r="I446" i="8"/>
  <c r="F446" i="8"/>
  <c r="H446" i="8"/>
  <c r="F444" i="8"/>
  <c r="H444" i="8"/>
  <c r="I444" i="8"/>
  <c r="H1028" i="8"/>
  <c r="F1028" i="8"/>
  <c r="I1028" i="8"/>
  <c r="F1047" i="8"/>
  <c r="I1047" i="8"/>
  <c r="H1047" i="8"/>
  <c r="H675" i="8"/>
  <c r="I675" i="8"/>
  <c r="F675" i="8"/>
  <c r="F596" i="8"/>
  <c r="H596" i="8"/>
  <c r="I596" i="8"/>
  <c r="F700" i="8"/>
  <c r="H700" i="8"/>
  <c r="I700" i="8"/>
  <c r="H201" i="8"/>
  <c r="I201" i="8" s="1"/>
  <c r="F691" i="8"/>
  <c r="H691" i="8"/>
  <c r="I691" i="8"/>
  <c r="H241" i="8"/>
  <c r="I241" i="8" s="1"/>
  <c r="H1241" i="8"/>
  <c r="I1241" i="8" s="1"/>
  <c r="H2289" i="5"/>
  <c r="F1063" i="8"/>
  <c r="I1063" i="8"/>
  <c r="H1063" i="8"/>
  <c r="H220" i="8"/>
  <c r="I220" i="8" s="1"/>
  <c r="H760" i="8"/>
  <c r="I760" i="8"/>
  <c r="F760" i="8"/>
  <c r="H1201" i="8"/>
  <c r="F1201" i="8"/>
  <c r="I1201" i="8"/>
  <c r="F265" i="8"/>
  <c r="H1068" i="8"/>
  <c r="I1068" i="8" s="1"/>
  <c r="F914" i="8"/>
  <c r="F377" i="8"/>
  <c r="I832" i="8"/>
  <c r="H832" i="8"/>
  <c r="F832" i="8"/>
  <c r="F72" i="8"/>
  <c r="H72" i="8"/>
  <c r="I72" i="8"/>
  <c r="F92" i="8"/>
  <c r="F652" i="8"/>
  <c r="I652" i="8"/>
  <c r="H652" i="8"/>
  <c r="G2385" i="5"/>
  <c r="H1008" i="8"/>
  <c r="I1008" i="8"/>
  <c r="F1008" i="8"/>
  <c r="H1188" i="8"/>
  <c r="F1188" i="8"/>
  <c r="I1188" i="8"/>
  <c r="H758" i="8"/>
  <c r="I758" i="8"/>
  <c r="F758" i="8"/>
  <c r="H257" i="8"/>
  <c r="I257" i="8" s="1"/>
  <c r="F950" i="8"/>
  <c r="H950" i="8"/>
  <c r="I950" i="8"/>
  <c r="F1033" i="8"/>
  <c r="H1033" i="8"/>
  <c r="I1033" i="8"/>
  <c r="F429" i="8"/>
  <c r="I429" i="8"/>
  <c r="H429" i="8"/>
  <c r="F1013" i="8"/>
  <c r="H1013" i="8"/>
  <c r="I1013" i="8"/>
  <c r="F767" i="8"/>
  <c r="I767" i="8"/>
  <c r="H767" i="8"/>
  <c r="H2277" i="5"/>
  <c r="G4064" i="5"/>
  <c r="H915" i="8"/>
  <c r="I915" i="8" s="1"/>
  <c r="F149" i="8"/>
  <c r="F491" i="8"/>
  <c r="H491" i="8"/>
  <c r="I491" i="8"/>
  <c r="F1097" i="8"/>
  <c r="H1981" i="5"/>
  <c r="E326" i="8" s="1"/>
  <c r="F837" i="8"/>
  <c r="H837" i="8"/>
  <c r="I837" i="8"/>
  <c r="H797" i="8"/>
  <c r="I797" i="8"/>
  <c r="F797" i="8"/>
  <c r="G4481" i="5"/>
  <c r="G4482" i="5"/>
  <c r="H141" i="8"/>
  <c r="F141" i="8"/>
  <c r="I141" i="8"/>
  <c r="F169" i="8"/>
  <c r="I169" i="8"/>
  <c r="H169" i="8"/>
  <c r="F620" i="8"/>
  <c r="I620" i="8"/>
  <c r="H620" i="8"/>
  <c r="G1619" i="5"/>
  <c r="F761" i="8"/>
  <c r="H761" i="8"/>
  <c r="I761" i="8"/>
  <c r="I640" i="8"/>
  <c r="H640" i="8"/>
  <c r="F640" i="8"/>
  <c r="F699" i="8"/>
  <c r="I699" i="8"/>
  <c r="H699" i="8"/>
  <c r="H694" i="8"/>
  <c r="I694" i="8"/>
  <c r="F694" i="8"/>
  <c r="F346" i="8"/>
  <c r="F376" i="8"/>
  <c r="F459" i="8"/>
  <c r="H459" i="8"/>
  <c r="I459" i="8"/>
  <c r="H1279" i="8"/>
  <c r="F1279" i="8"/>
  <c r="I1279" i="8"/>
  <c r="F729" i="8"/>
  <c r="I729" i="8"/>
  <c r="H729" i="8"/>
  <c r="F67" i="8"/>
  <c r="H67" i="8"/>
  <c r="I67" i="8"/>
  <c r="F616" i="8"/>
  <c r="I616" i="8"/>
  <c r="H616" i="8"/>
  <c r="F846" i="8"/>
  <c r="H846" i="8"/>
  <c r="I846" i="8"/>
  <c r="F750" i="8"/>
  <c r="H750" i="8"/>
  <c r="I750" i="8"/>
  <c r="F1099" i="8"/>
  <c r="F576" i="8"/>
  <c r="H576" i="8"/>
  <c r="I576" i="8" s="1"/>
  <c r="F831" i="8"/>
  <c r="I831" i="8"/>
  <c r="H831" i="8"/>
  <c r="I1304" i="8"/>
  <c r="H1304" i="8"/>
  <c r="F1304" i="8"/>
  <c r="H1690" i="5"/>
  <c r="E275" i="8" s="1"/>
  <c r="F737" i="8"/>
  <c r="H737" i="8"/>
  <c r="I737" i="8"/>
  <c r="F342" i="8"/>
  <c r="F206" i="8"/>
  <c r="F404" i="8"/>
  <c r="I404" i="8"/>
  <c r="H404" i="8"/>
  <c r="F539" i="8"/>
  <c r="H539" i="8"/>
  <c r="I539" i="8"/>
  <c r="F1174" i="8"/>
  <c r="F1244" i="8"/>
  <c r="H1244" i="8"/>
  <c r="I1244" i="8"/>
  <c r="I742" i="8"/>
  <c r="F742" i="8"/>
  <c r="H742" i="8"/>
  <c r="F641" i="8"/>
  <c r="H641" i="8"/>
  <c r="I641" i="8"/>
  <c r="F1044" i="8"/>
  <c r="H1044" i="8"/>
  <c r="I1044" i="8"/>
  <c r="F264" i="8"/>
  <c r="H1729" i="5"/>
  <c r="E280" i="8" s="1"/>
  <c r="F1236" i="8"/>
  <c r="I1236" i="8"/>
  <c r="H1236" i="8"/>
  <c r="F643" i="8"/>
  <c r="I643" i="8"/>
  <c r="H643" i="8"/>
  <c r="H929" i="8"/>
  <c r="I929" i="8" s="1"/>
  <c r="F517" i="8"/>
  <c r="H517" i="8"/>
  <c r="I517" i="8" s="1"/>
  <c r="F1212" i="8"/>
  <c r="H1212" i="8"/>
  <c r="I1212" i="8"/>
  <c r="I1203" i="8"/>
  <c r="H1203" i="8"/>
  <c r="F1203" i="8"/>
  <c r="F430" i="8"/>
  <c r="I430" i="8"/>
  <c r="H430" i="8"/>
  <c r="I1127" i="8"/>
  <c r="H1127" i="8"/>
  <c r="F1127" i="8"/>
  <c r="F1125" i="8"/>
  <c r="I1297" i="8"/>
  <c r="F1297" i="8"/>
  <c r="H1297" i="8"/>
  <c r="F181" i="8"/>
  <c r="F577" i="8"/>
  <c r="H577" i="8"/>
  <c r="I577" i="8" s="1"/>
  <c r="F1006" i="8"/>
  <c r="F550" i="8"/>
  <c r="H550" i="8"/>
  <c r="I550" i="8"/>
  <c r="F595" i="8"/>
  <c r="I595" i="8"/>
  <c r="H595" i="8"/>
  <c r="F61" i="8"/>
  <c r="I61" i="8"/>
  <c r="H61" i="8"/>
  <c r="H345" i="8"/>
  <c r="I345" i="8" s="1"/>
  <c r="F411" i="8"/>
  <c r="H411" i="8"/>
  <c r="I411" i="8"/>
  <c r="F1335" i="8"/>
  <c r="I1335" i="8"/>
  <c r="H1335" i="8"/>
  <c r="F328" i="8"/>
  <c r="G4212" i="5"/>
  <c r="G4213" i="5"/>
  <c r="F1306" i="8"/>
  <c r="I1306" i="8"/>
  <c r="H1306" i="8"/>
  <c r="F558" i="8"/>
  <c r="I558" i="8"/>
  <c r="H558" i="8"/>
  <c r="I1239" i="8"/>
  <c r="F1239" i="8"/>
  <c r="H1239" i="8"/>
  <c r="H1171" i="8"/>
  <c r="I1171" i="8" s="1"/>
  <c r="F734" i="8"/>
  <c r="H734" i="8"/>
  <c r="I734" i="8"/>
  <c r="F998" i="8"/>
  <c r="H998" i="8"/>
  <c r="I998" i="8"/>
  <c r="F848" i="8"/>
  <c r="H848" i="8"/>
  <c r="I848" i="8"/>
  <c r="F1060" i="8"/>
  <c r="H1060" i="8"/>
  <c r="I1060" i="8"/>
  <c r="H2301" i="5"/>
  <c r="H714" i="8"/>
  <c r="I714" i="8" s="1"/>
  <c r="I774" i="8"/>
  <c r="F774" i="8"/>
  <c r="H774" i="8"/>
  <c r="F68" i="8"/>
  <c r="I68" i="8"/>
  <c r="H68" i="8"/>
  <c r="F789" i="8"/>
  <c r="H789" i="8"/>
  <c r="I789" i="8"/>
  <c r="F928" i="8"/>
  <c r="H1220" i="8"/>
  <c r="F1220" i="8"/>
  <c r="I1220" i="8"/>
  <c r="F565" i="8"/>
  <c r="I565" i="8"/>
  <c r="H565" i="8"/>
  <c r="I492" i="8"/>
  <c r="H492" i="8"/>
  <c r="F492" i="8"/>
  <c r="F1053" i="8"/>
  <c r="H1053" i="8"/>
  <c r="I1053" i="8"/>
  <c r="F785" i="8"/>
  <c r="H785" i="8"/>
  <c r="I785" i="8"/>
  <c r="H38" i="8"/>
  <c r="I38" i="8" s="1"/>
  <c r="H1095" i="8"/>
  <c r="I1095" i="8" s="1"/>
  <c r="F173" i="8"/>
  <c r="F1039" i="8"/>
  <c r="I1039" i="8"/>
  <c r="H1039" i="8"/>
  <c r="F513" i="8"/>
  <c r="H513" i="8"/>
  <c r="I513" i="8" s="1"/>
  <c r="F495" i="8"/>
  <c r="H495" i="8"/>
  <c r="I495" i="8" s="1"/>
  <c r="F784" i="8"/>
  <c r="H784" i="8"/>
  <c r="I784" i="8"/>
  <c r="F336" i="8"/>
  <c r="F507" i="8"/>
  <c r="H507" i="8"/>
  <c r="I507" i="8" s="1"/>
  <c r="F506" i="8"/>
  <c r="H506" i="8"/>
  <c r="I506" i="8" s="1"/>
  <c r="F1204" i="8"/>
  <c r="H1204" i="8"/>
  <c r="I1204" i="8"/>
  <c r="F668" i="8"/>
  <c r="H668" i="8"/>
  <c r="I668" i="8"/>
  <c r="F413" i="8"/>
  <c r="H413" i="8"/>
  <c r="I413" i="8" s="1"/>
  <c r="F678" i="8"/>
  <c r="I678" i="8"/>
  <c r="H678" i="8"/>
  <c r="H1093" i="8"/>
  <c r="I1093" i="8" s="1"/>
  <c r="I768" i="8"/>
  <c r="H768" i="8"/>
  <c r="F768" i="8"/>
  <c r="G1527" i="5"/>
  <c r="H205" i="8"/>
  <c r="I205" i="8" s="1"/>
  <c r="H269" i="8"/>
  <c r="I269" i="8" s="1"/>
  <c r="F436" i="8"/>
  <c r="I436" i="8"/>
  <c r="H436" i="8"/>
  <c r="F231" i="8"/>
  <c r="F807" i="8"/>
  <c r="H807" i="8"/>
  <c r="I807" i="8"/>
  <c r="H1313" i="8"/>
  <c r="F1313" i="8"/>
  <c r="I1313" i="8"/>
  <c r="H1740" i="5"/>
  <c r="E281" i="8" s="1"/>
  <c r="F662" i="8"/>
  <c r="I662" i="8"/>
  <c r="H662" i="8"/>
  <c r="F1072" i="8"/>
  <c r="H1072" i="8"/>
  <c r="I1072" i="8"/>
  <c r="F239" i="8"/>
  <c r="I452" i="8"/>
  <c r="H452" i="8"/>
  <c r="F452" i="8"/>
  <c r="F1106" i="8"/>
  <c r="F757" i="8"/>
  <c r="I757" i="8"/>
  <c r="H757" i="8"/>
  <c r="G2839" i="5"/>
  <c r="H2265" i="5"/>
  <c r="H947" i="8"/>
  <c r="I947" i="8" s="1"/>
  <c r="H379" i="8"/>
  <c r="I379" i="8" s="1"/>
  <c r="F833" i="8"/>
  <c r="H833" i="8"/>
  <c r="I833" i="8"/>
  <c r="I1206" i="8"/>
  <c r="H1206" i="8"/>
  <c r="F1206" i="8"/>
  <c r="F390" i="8"/>
  <c r="I390" i="8"/>
  <c r="H390" i="8"/>
  <c r="F793" i="8"/>
  <c r="I793" i="8"/>
  <c r="H793" i="8"/>
  <c r="F995" i="8"/>
  <c r="F1341" i="8"/>
  <c r="F1272" i="8"/>
  <c r="G2386" i="5"/>
  <c r="H2405" i="5"/>
  <c r="E384" i="8" s="1"/>
  <c r="F628" i="8"/>
  <c r="I628" i="8"/>
  <c r="H628" i="8"/>
  <c r="F651" i="8"/>
  <c r="H651" i="8"/>
  <c r="I651" i="8"/>
  <c r="F465" i="8"/>
  <c r="H465" i="8"/>
  <c r="I465" i="8"/>
  <c r="H1221" i="8"/>
  <c r="I1221" i="8"/>
  <c r="F1221" i="8"/>
  <c r="F191" i="8"/>
  <c r="F194" i="8"/>
  <c r="F673" i="8"/>
  <c r="H673" i="8"/>
  <c r="I673" i="8"/>
  <c r="F1165" i="8"/>
  <c r="F162" i="8"/>
  <c r="F417" i="8"/>
  <c r="H417" i="8"/>
  <c r="I417" i="8"/>
  <c r="F769" i="8"/>
  <c r="I769" i="8"/>
  <c r="H769" i="8"/>
  <c r="H563" i="8"/>
  <c r="F563" i="8"/>
  <c r="I563" i="8"/>
  <c r="F782" i="8"/>
  <c r="H782" i="8"/>
  <c r="I782" i="8"/>
  <c r="F1092" i="8"/>
  <c r="I1092" i="8"/>
  <c r="H1092" i="8"/>
  <c r="H285" i="8"/>
  <c r="I285" i="8" s="1"/>
  <c r="H1075" i="8"/>
  <c r="I1075" i="8" s="1"/>
  <c r="F680" i="8"/>
  <c r="I680" i="8"/>
  <c r="H680" i="8"/>
  <c r="F535" i="8"/>
  <c r="H535" i="8"/>
  <c r="I535" i="8"/>
  <c r="H916" i="8"/>
  <c r="I916" i="8" s="1"/>
  <c r="F189" i="8"/>
  <c r="F712" i="8"/>
  <c r="H712" i="8"/>
  <c r="I712" i="8"/>
  <c r="H351" i="8"/>
  <c r="I351" i="8" s="1"/>
  <c r="F357" i="8"/>
  <c r="H357" i="8"/>
  <c r="I357" i="8"/>
  <c r="F751" i="8"/>
  <c r="I751" i="8"/>
  <c r="H751" i="8"/>
  <c r="H504" i="8"/>
  <c r="I504" i="8"/>
  <c r="F504" i="8"/>
  <c r="H751" i="5"/>
  <c r="F1052" i="8"/>
  <c r="H1052" i="8"/>
  <c r="I1052" i="8"/>
  <c r="F387" i="8"/>
  <c r="I387" i="8"/>
  <c r="H387" i="8"/>
  <c r="H1138" i="8"/>
  <c r="I1138" i="8" s="1"/>
  <c r="H277" i="8"/>
  <c r="I277" i="8" s="1"/>
  <c r="H135" i="8"/>
  <c r="I135" i="8" s="1"/>
  <c r="F172" i="8"/>
  <c r="I800" i="8"/>
  <c r="F800" i="8"/>
  <c r="H800" i="8"/>
  <c r="I612" i="8"/>
  <c r="F612" i="8"/>
  <c r="H612" i="8"/>
  <c r="F814" i="8"/>
  <c r="I814" i="8"/>
  <c r="H814" i="8"/>
  <c r="H133" i="8"/>
  <c r="I133" i="8" s="1"/>
  <c r="F632" i="8"/>
  <c r="H632" i="8"/>
  <c r="I632" i="8"/>
  <c r="F493" i="8"/>
  <c r="I493" i="8"/>
  <c r="H493" i="8"/>
  <c r="H34" i="8"/>
  <c r="I34" i="8" s="1"/>
  <c r="I847" i="8"/>
  <c r="H847" i="8"/>
  <c r="F847" i="8"/>
  <c r="F741" i="8"/>
  <c r="H741" i="8"/>
  <c r="I741" i="8"/>
  <c r="F1216" i="8"/>
  <c r="I1216" i="8"/>
  <c r="H1216" i="8"/>
  <c r="F1209" i="8"/>
  <c r="I1209" i="8"/>
  <c r="H1209" i="8"/>
  <c r="F609" i="8"/>
  <c r="I609" i="8"/>
  <c r="H609" i="8"/>
  <c r="H1166" i="8"/>
  <c r="I1166" i="8" s="1"/>
  <c r="F1181" i="8"/>
  <c r="F527" i="8"/>
  <c r="H527" i="8"/>
  <c r="I527" i="8"/>
  <c r="I821" i="8"/>
  <c r="F821" i="8"/>
  <c r="H821" i="8"/>
  <c r="G3885" i="5"/>
  <c r="G3637" i="5"/>
  <c r="F733" i="8"/>
  <c r="H733" i="8"/>
  <c r="I733" i="8"/>
  <c r="F421" i="8"/>
  <c r="H421" i="8"/>
  <c r="I421" i="8" s="1"/>
  <c r="F1309" i="8"/>
  <c r="I1309" i="8"/>
  <c r="H1309" i="8"/>
  <c r="G902" i="5"/>
  <c r="I1108" i="8"/>
  <c r="H1108" i="8"/>
  <c r="F1108" i="8"/>
  <c r="F1228" i="8"/>
  <c r="H1228" i="8"/>
  <c r="I1228" i="8"/>
  <c r="H1336" i="8"/>
  <c r="I1336" i="8" s="1"/>
  <c r="F498" i="8"/>
  <c r="I498" i="8"/>
  <c r="H498" i="8"/>
  <c r="H105" i="8"/>
  <c r="I105" i="8" s="1"/>
  <c r="I659" i="8"/>
  <c r="H659" i="8"/>
  <c r="F659" i="8"/>
  <c r="F749" i="8"/>
  <c r="H749" i="8"/>
  <c r="I749" i="8"/>
  <c r="F766" i="8"/>
  <c r="H766" i="8"/>
  <c r="I766" i="8"/>
  <c r="F473" i="8"/>
  <c r="H473" i="8"/>
  <c r="I473" i="8" s="1"/>
  <c r="H1989" i="5"/>
  <c r="E327" i="8" s="1"/>
  <c r="H1280" i="8"/>
  <c r="F1280" i="8"/>
  <c r="I1280" i="8"/>
  <c r="F160" i="8"/>
  <c r="F483" i="8"/>
  <c r="H483" i="8"/>
  <c r="I483" i="8"/>
  <c r="H428" i="8"/>
  <c r="F428" i="8"/>
  <c r="I428" i="8"/>
  <c r="F508" i="8"/>
  <c r="H508" i="8"/>
  <c r="I508" i="8" s="1"/>
  <c r="F806" i="8"/>
  <c r="H806" i="8"/>
  <c r="I806" i="8"/>
  <c r="F142" i="8"/>
  <c r="H142" i="8"/>
  <c r="I142" i="8"/>
  <c r="H146" i="8"/>
  <c r="I146" i="8" s="1"/>
  <c r="F180" i="8"/>
  <c r="F1293" i="8"/>
  <c r="F1302" i="8"/>
  <c r="I1302" i="8"/>
  <c r="H1302" i="8"/>
  <c r="F667" i="8"/>
  <c r="H667" i="8"/>
  <c r="I667" i="8"/>
  <c r="G3616" i="5"/>
  <c r="H163" i="8"/>
  <c r="I163" i="8" s="1"/>
  <c r="F460" i="8"/>
  <c r="H460" i="8"/>
  <c r="I460" i="8"/>
  <c r="F140" i="8"/>
  <c r="H140" i="8"/>
  <c r="I140" i="8"/>
  <c r="H214" i="8"/>
  <c r="I214" i="8" s="1"/>
  <c r="F268" i="8"/>
  <c r="F1338" i="8"/>
  <c r="F1196" i="8"/>
  <c r="H1196" i="8"/>
  <c r="I1196" i="8"/>
  <c r="F69" i="8"/>
  <c r="H69" i="8"/>
  <c r="I69" i="8"/>
  <c r="H101" i="8"/>
  <c r="I101" i="8" s="1"/>
  <c r="H4060" i="5"/>
  <c r="F476" i="8"/>
  <c r="H476" i="8"/>
  <c r="I476" i="8" s="1"/>
  <c r="H518" i="5"/>
  <c r="E106" i="8" s="1"/>
  <c r="H196" i="8"/>
  <c r="I196" i="8" s="1"/>
  <c r="H114" i="8"/>
  <c r="I114" i="8" s="1"/>
  <c r="I954" i="8"/>
  <c r="F954" i="8"/>
  <c r="H954" i="8"/>
  <c r="F1101" i="8"/>
  <c r="H1101" i="8"/>
  <c r="I1101" i="8"/>
  <c r="F646" i="8"/>
  <c r="H646" i="8"/>
  <c r="I646" i="8"/>
  <c r="H791" i="8"/>
  <c r="F791" i="8"/>
  <c r="I791" i="8"/>
  <c r="H822" i="8"/>
  <c r="F822" i="8"/>
  <c r="I822" i="8"/>
  <c r="F81" i="8"/>
  <c r="H80" i="8"/>
  <c r="I80" i="8" s="1"/>
  <c r="F1179" i="8"/>
  <c r="F1233" i="8"/>
  <c r="I1233" i="8"/>
  <c r="H1233" i="8"/>
  <c r="F817" i="8"/>
  <c r="I817" i="8"/>
  <c r="H817" i="8"/>
  <c r="F710" i="8"/>
  <c r="I710" i="8"/>
  <c r="H710" i="8"/>
  <c r="F500" i="8"/>
  <c r="I500" i="8"/>
  <c r="H500" i="8"/>
  <c r="F611" i="8"/>
  <c r="H611" i="8"/>
  <c r="I611" i="8"/>
  <c r="F901" i="8"/>
  <c r="F1208" i="8"/>
  <c r="I1208" i="8"/>
  <c r="H1208" i="8"/>
  <c r="F1264" i="8"/>
  <c r="F1037" i="8"/>
  <c r="H1037" i="8"/>
  <c r="I1037" i="8"/>
  <c r="H1129" i="8"/>
  <c r="I1129" i="8" s="1"/>
  <c r="F347" i="8"/>
  <c r="F958" i="8"/>
  <c r="G3173" i="5"/>
  <c r="F338" i="8"/>
  <c r="F917" i="8"/>
  <c r="F1094" i="8"/>
  <c r="H383" i="8"/>
  <c r="I383" i="8" s="1"/>
  <c r="G1535" i="5"/>
  <c r="H1263" i="8"/>
  <c r="I1263" i="8" s="1"/>
  <c r="F1124" i="8"/>
  <c r="F1146" i="8"/>
  <c r="F1064" i="8"/>
  <c r="F380" i="8"/>
  <c r="F1284" i="8"/>
  <c r="G1519" i="5"/>
  <c r="H1102" i="8"/>
  <c r="I1102" i="8" s="1"/>
  <c r="F472" i="8"/>
  <c r="H472" i="8"/>
  <c r="I472" i="8" s="1"/>
  <c r="H1348" i="8"/>
  <c r="I1348" i="8" s="1"/>
  <c r="F1169" i="8"/>
  <c r="F1261" i="8"/>
  <c r="F1271" i="8"/>
  <c r="F1262" i="8"/>
  <c r="F1294" i="8"/>
  <c r="G5076" i="5"/>
  <c r="H1260" i="8"/>
  <c r="I1260" i="8" s="1"/>
  <c r="H1278" i="8"/>
  <c r="I1278" i="8" s="1"/>
  <c r="F1155" i="8"/>
  <c r="H1170" i="8"/>
  <c r="I1170" i="8" s="1"/>
  <c r="H1300" i="8"/>
  <c r="I1300" i="8" s="1"/>
  <c r="F1286" i="8"/>
  <c r="F1273" i="8"/>
  <c r="H187" i="8"/>
  <c r="I187" i="8" s="1"/>
  <c r="F581" i="8"/>
  <c r="H581" i="8"/>
  <c r="I581" i="8" s="1"/>
  <c r="F414" i="8"/>
  <c r="H414" i="8"/>
  <c r="I414" i="8" s="1"/>
  <c r="H1036" i="8"/>
  <c r="I1036" i="8" s="1"/>
  <c r="F103" i="8"/>
  <c r="H103" i="8"/>
  <c r="I103" i="8" s="1"/>
  <c r="F257" i="8"/>
  <c r="F324" i="8"/>
  <c r="H324" i="8"/>
  <c r="I324" i="8" s="1"/>
  <c r="H336" i="8"/>
  <c r="I336" i="8" s="1"/>
  <c r="H328" i="8"/>
  <c r="I328" i="8" s="1"/>
  <c r="H173" i="8"/>
  <c r="I173" i="8" s="1"/>
  <c r="F238" i="8"/>
  <c r="H238" i="8"/>
  <c r="I238" i="8" s="1"/>
  <c r="F38" i="8"/>
  <c r="F88" i="8"/>
  <c r="H88" i="8"/>
  <c r="I88" i="8" s="1"/>
  <c r="F1285" i="8"/>
  <c r="F50" i="8"/>
  <c r="H50" i="8"/>
  <c r="I50" i="8" s="1"/>
  <c r="F179" i="8"/>
  <c r="H179" i="8"/>
  <c r="I179" i="8" s="1"/>
  <c r="F1240" i="8"/>
  <c r="H1240" i="8"/>
  <c r="I1240" i="8" s="1"/>
  <c r="H191" i="8"/>
  <c r="I191" i="8" s="1"/>
  <c r="H181" i="8"/>
  <c r="I181" i="8" s="1"/>
  <c r="F375" i="8"/>
  <c r="H375" i="8"/>
  <c r="I375" i="8" s="1"/>
  <c r="F1075" i="8"/>
  <c r="F182" i="8"/>
  <c r="H182" i="8"/>
  <c r="I182" i="8" s="1"/>
  <c r="F345" i="8"/>
  <c r="F985" i="8"/>
  <c r="H985" i="8"/>
  <c r="I985" i="8" s="1"/>
  <c r="F129" i="8"/>
  <c r="H129" i="8"/>
  <c r="I129" i="8" s="1"/>
  <c r="F119" i="8"/>
  <c r="H119" i="8"/>
  <c r="I119" i="8" s="1"/>
  <c r="F201" i="8"/>
  <c r="H329" i="8"/>
  <c r="I329" i="8" s="1"/>
  <c r="F1083" i="8"/>
  <c r="H1083" i="8"/>
  <c r="I1083" i="8" s="1"/>
  <c r="H374" i="8"/>
  <c r="I374" i="8" s="1"/>
  <c r="F219" i="8"/>
  <c r="H219" i="8"/>
  <c r="I219" i="8" s="1"/>
  <c r="F147" i="8"/>
  <c r="H147" i="8"/>
  <c r="I147" i="8" s="1"/>
  <c r="F155" i="8"/>
  <c r="H155" i="8"/>
  <c r="I155" i="8" s="1"/>
  <c r="H132" i="8"/>
  <c r="I132" i="8" s="1"/>
  <c r="F202" i="8"/>
  <c r="H202" i="8"/>
  <c r="I202" i="8" s="1"/>
  <c r="F208" i="8"/>
  <c r="H208" i="8"/>
  <c r="I208" i="8" s="1"/>
  <c r="F915" i="8"/>
  <c r="F349" i="8"/>
  <c r="H349" i="8"/>
  <c r="I349" i="8" s="1"/>
  <c r="F1138" i="8"/>
  <c r="F217" i="8"/>
  <c r="H217" i="8"/>
  <c r="I217" i="8" s="1"/>
  <c r="F260" i="8"/>
  <c r="H260" i="8"/>
  <c r="I260" i="8" s="1"/>
  <c r="F930" i="8"/>
  <c r="H930" i="8"/>
  <c r="I930" i="8" s="1"/>
  <c r="E368" i="8" l="1"/>
  <c r="E144" i="8"/>
  <c r="E364" i="8"/>
  <c r="E369" i="8"/>
  <c r="E1117" i="8"/>
  <c r="E370" i="8"/>
  <c r="E366" i="8"/>
  <c r="E367" i="8"/>
  <c r="F114" i="8"/>
  <c r="H1176" i="8"/>
  <c r="I1176" i="8" s="1"/>
  <c r="F188" i="8"/>
  <c r="H377" i="8"/>
  <c r="I377" i="8" s="1"/>
  <c r="H333" i="8"/>
  <c r="I333" i="8" s="1"/>
  <c r="F331" i="8"/>
  <c r="F1323" i="8"/>
  <c r="H899" i="5"/>
  <c r="E165" i="8" s="1"/>
  <c r="H1315" i="8"/>
  <c r="I1315" i="8" s="1"/>
  <c r="F1321" i="8"/>
  <c r="F1333" i="8"/>
  <c r="H1318" i="8"/>
  <c r="I1318" i="8" s="1"/>
  <c r="F241" i="8"/>
  <c r="H109" i="8"/>
  <c r="I109" i="8" s="1"/>
  <c r="F261" i="8"/>
  <c r="F920" i="8"/>
  <c r="H850" i="8"/>
  <c r="I850" i="8" s="1"/>
  <c r="H175" i="8"/>
  <c r="I175" i="8" s="1"/>
  <c r="H195" i="8"/>
  <c r="I195" i="8" s="1"/>
  <c r="H1125" i="8"/>
  <c r="I1125" i="8" s="1"/>
  <c r="H1099" i="8"/>
  <c r="I1099" i="8" s="1"/>
  <c r="H267" i="8"/>
  <c r="I267" i="8" s="1"/>
  <c r="F215" i="8"/>
  <c r="H376" i="8"/>
  <c r="I376" i="8" s="1"/>
  <c r="H503" i="8"/>
  <c r="I503" i="8" s="1"/>
  <c r="H264" i="8"/>
  <c r="I264" i="8" s="1"/>
  <c r="F916" i="8"/>
  <c r="F929" i="8"/>
  <c r="H371" i="8"/>
  <c r="I371" i="8" s="1"/>
  <c r="H851" i="8"/>
  <c r="I851" i="8" s="1"/>
  <c r="F128" i="8"/>
  <c r="F174" i="8"/>
  <c r="H134" i="8"/>
  <c r="I134" i="8" s="1"/>
  <c r="H239" i="8"/>
  <c r="I239" i="8" s="1"/>
  <c r="F277" i="8"/>
  <c r="F105" i="8"/>
  <c r="F854" i="8"/>
  <c r="F1093" i="8"/>
  <c r="F178" i="8"/>
  <c r="H337" i="8"/>
  <c r="I337" i="8" s="1"/>
  <c r="H193" i="8"/>
  <c r="I193" i="8" s="1"/>
  <c r="H149" i="8"/>
  <c r="I149" i="8" s="1"/>
  <c r="H927" i="8"/>
  <c r="I927" i="8" s="1"/>
  <c r="F714" i="8"/>
  <c r="H172" i="8"/>
  <c r="I172" i="8" s="1"/>
  <c r="H1113" i="8"/>
  <c r="I1113" i="8" s="1"/>
  <c r="F205" i="8"/>
  <c r="H92" i="8"/>
  <c r="I92" i="8" s="1"/>
  <c r="F351" i="8"/>
  <c r="H112" i="8"/>
  <c r="I112" i="8" s="1"/>
  <c r="H372" i="8"/>
  <c r="I372" i="8" s="1"/>
  <c r="H1097" i="8"/>
  <c r="I1097" i="8" s="1"/>
  <c r="H206" i="8"/>
  <c r="I206" i="8" s="1"/>
  <c r="F269" i="8"/>
  <c r="H37" i="8"/>
  <c r="I37" i="8" s="1"/>
  <c r="H1098" i="8"/>
  <c r="I1098" i="8" s="1"/>
  <c r="H1120" i="8"/>
  <c r="I1120" i="8" s="1"/>
  <c r="F135" i="8"/>
  <c r="F1068" i="8"/>
  <c r="F185" i="8"/>
  <c r="H1130" i="8"/>
  <c r="I1130" i="8" s="1"/>
  <c r="H162" i="8"/>
  <c r="I162" i="8" s="1"/>
  <c r="F34" i="8"/>
  <c r="F133" i="8"/>
  <c r="H350" i="8"/>
  <c r="I350" i="8" s="1"/>
  <c r="H229" i="8"/>
  <c r="I229" i="8" s="1"/>
  <c r="H1071" i="8"/>
  <c r="I1071" i="8" s="1"/>
  <c r="F1035" i="8"/>
  <c r="H914" i="8"/>
  <c r="I914" i="8" s="1"/>
  <c r="H194" i="8"/>
  <c r="I194" i="8" s="1"/>
  <c r="H1174" i="8"/>
  <c r="I1174" i="8" s="1"/>
  <c r="H1106" i="8"/>
  <c r="I1106" i="8" s="1"/>
  <c r="H331" i="8"/>
  <c r="I331" i="8" s="1"/>
  <c r="H1341" i="8"/>
  <c r="I1341" i="8" s="1"/>
  <c r="F214" i="8"/>
  <c r="H180" i="8"/>
  <c r="I180" i="8" s="1"/>
  <c r="F1095" i="8"/>
  <c r="H995" i="8"/>
  <c r="I995" i="8" s="1"/>
  <c r="H268" i="8"/>
  <c r="I268" i="8" s="1"/>
  <c r="H1710" i="5"/>
  <c r="H81" i="8"/>
  <c r="I81" i="8" s="1"/>
  <c r="F285" i="8"/>
  <c r="F1263" i="8"/>
  <c r="H126" i="8"/>
  <c r="I126" i="8" s="1"/>
  <c r="F80" i="8"/>
  <c r="F56" i="8"/>
  <c r="F196" i="8"/>
  <c r="F1102" i="8"/>
  <c r="H1103" i="8"/>
  <c r="I1103" i="8" s="1"/>
  <c r="H341" i="8"/>
  <c r="I341" i="8" s="1"/>
  <c r="F213" i="8"/>
  <c r="H1145" i="8"/>
  <c r="I1145" i="8" s="1"/>
  <c r="H928" i="8"/>
  <c r="I928" i="8" s="1"/>
  <c r="F237" i="8"/>
  <c r="H3840" i="5"/>
  <c r="E1076" i="8" s="1"/>
  <c r="F1241" i="8"/>
  <c r="F220" i="8"/>
  <c r="H1718" i="5"/>
  <c r="E279" i="8" s="1"/>
  <c r="F146" i="8"/>
  <c r="F1166" i="8"/>
  <c r="H1165" i="8"/>
  <c r="I1165" i="8" s="1"/>
  <c r="H1272" i="8"/>
  <c r="I1272" i="8" s="1"/>
  <c r="F1278" i="8"/>
  <c r="H1155" i="8"/>
  <c r="I1155" i="8" s="1"/>
  <c r="F1300" i="8"/>
  <c r="F1315" i="8"/>
  <c r="F1336" i="8"/>
  <c r="H160" i="8"/>
  <c r="I160" i="8" s="1"/>
  <c r="F1260" i="8"/>
  <c r="F1129" i="8"/>
  <c r="H1181" i="8"/>
  <c r="I1181" i="8" s="1"/>
  <c r="H108" i="8"/>
  <c r="I108" i="8" s="1"/>
  <c r="H901" i="8"/>
  <c r="I901" i="8" s="1"/>
  <c r="H945" i="8"/>
  <c r="I945" i="8" s="1"/>
  <c r="H1751" i="5"/>
  <c r="H338" i="8"/>
  <c r="I338" i="8" s="1"/>
  <c r="H231" i="8"/>
  <c r="I231" i="8" s="1"/>
  <c r="H346" i="8"/>
  <c r="I346" i="8" s="1"/>
  <c r="H265" i="8"/>
  <c r="I265" i="8" s="1"/>
  <c r="H342" i="8"/>
  <c r="I342" i="8" s="1"/>
  <c r="H1274" i="8"/>
  <c r="I1274" i="8" s="1"/>
  <c r="H948" i="8"/>
  <c r="I948" i="8" s="1"/>
  <c r="F163" i="8"/>
  <c r="H1293" i="8"/>
  <c r="I1293" i="8" s="1"/>
  <c r="H1284" i="8"/>
  <c r="I1284" i="8" s="1"/>
  <c r="H189" i="8"/>
  <c r="I189" i="8" s="1"/>
  <c r="H347" i="8"/>
  <c r="I347" i="8" s="1"/>
  <c r="H391" i="8"/>
  <c r="I391" i="8"/>
  <c r="F391" i="8"/>
  <c r="H1094" i="8"/>
  <c r="I1094" i="8" s="1"/>
  <c r="H1338" i="8"/>
  <c r="I1338" i="8" s="1"/>
  <c r="H1286" i="8"/>
  <c r="I1286" i="8" s="1"/>
  <c r="H1264" i="8"/>
  <c r="I1264" i="8" s="1"/>
  <c r="H1262" i="8"/>
  <c r="I1262" i="8" s="1"/>
  <c r="F187" i="8"/>
  <c r="H1294" i="8"/>
  <c r="I1294" i="8" s="1"/>
  <c r="F383" i="8"/>
  <c r="F1170" i="8"/>
  <c r="H1064" i="8"/>
  <c r="I1064" i="8" s="1"/>
  <c r="H917" i="8"/>
  <c r="I917" i="8" s="1"/>
  <c r="F101" i="8"/>
  <c r="I554" i="8"/>
  <c r="F554" i="8"/>
  <c r="H554" i="8"/>
  <c r="F437" i="8"/>
  <c r="H437" i="8"/>
  <c r="I437" i="8"/>
  <c r="H1124" i="8"/>
  <c r="I1124" i="8" s="1"/>
  <c r="H1167" i="8"/>
  <c r="F1167" i="8"/>
  <c r="I1167" i="8"/>
  <c r="F587" i="8"/>
  <c r="H587" i="8"/>
  <c r="I587" i="8"/>
  <c r="I754" i="8"/>
  <c r="F754" i="8"/>
  <c r="H754" i="8"/>
  <c r="H770" i="8"/>
  <c r="I770" i="8"/>
  <c r="F770" i="8"/>
  <c r="H1312" i="8"/>
  <c r="I1312" i="8"/>
  <c r="F1312" i="8"/>
  <c r="F1348" i="8"/>
  <c r="F537" i="8"/>
  <c r="H537" i="8"/>
  <c r="I537" i="8"/>
  <c r="F137" i="8"/>
  <c r="H137" i="8"/>
  <c r="I137" i="8"/>
  <c r="F629" i="8"/>
  <c r="I629" i="8"/>
  <c r="H629" i="8"/>
  <c r="I434" i="8"/>
  <c r="H434" i="8"/>
  <c r="F434" i="8"/>
  <c r="F842" i="8"/>
  <c r="H842" i="8"/>
  <c r="I842" i="8"/>
  <c r="I778" i="8"/>
  <c r="H778" i="8"/>
  <c r="F778" i="8"/>
  <c r="F415" i="8"/>
  <c r="H415" i="8"/>
  <c r="I415" i="8"/>
  <c r="H746" i="8"/>
  <c r="I746" i="8"/>
  <c r="F746" i="8"/>
  <c r="H738" i="8"/>
  <c r="I738" i="8"/>
  <c r="F738" i="8"/>
  <c r="F706" i="8"/>
  <c r="H706" i="8"/>
  <c r="I706" i="8"/>
  <c r="F810" i="8"/>
  <c r="H810" i="8"/>
  <c r="I810" i="8"/>
  <c r="H1104" i="8"/>
  <c r="I1104" i="8"/>
  <c r="F1104" i="8"/>
  <c r="F490" i="8"/>
  <c r="H490" i="8"/>
  <c r="I490" i="8"/>
  <c r="F424" i="8"/>
  <c r="I424" i="8"/>
  <c r="H424" i="8"/>
  <c r="H386" i="8"/>
  <c r="I386" i="8"/>
  <c r="F386" i="8"/>
  <c r="F489" i="8"/>
  <c r="H489" i="8"/>
  <c r="I489" i="8"/>
  <c r="F618" i="8"/>
  <c r="I618" i="8"/>
  <c r="H618" i="8"/>
  <c r="H1179" i="8"/>
  <c r="I1179" i="8" s="1"/>
  <c r="H1273" i="8"/>
  <c r="I1273" i="8" s="1"/>
  <c r="H1261" i="8"/>
  <c r="I1261" i="8" s="1"/>
  <c r="F1318" i="8"/>
  <c r="H958" i="8"/>
  <c r="I958" i="8" s="1"/>
  <c r="H1271" i="8"/>
  <c r="I1271" i="8" s="1"/>
  <c r="H380" i="8"/>
  <c r="I380" i="8" s="1"/>
  <c r="F418" i="8"/>
  <c r="H418" i="8"/>
  <c r="I418" i="8"/>
  <c r="F946" i="8"/>
  <c r="H946" i="8"/>
  <c r="I946" i="8"/>
  <c r="G3184" i="5"/>
  <c r="H1109" i="8"/>
  <c r="I1109" i="8" s="1"/>
  <c r="F1109" i="8"/>
  <c r="G1551" i="5"/>
  <c r="G5077" i="5"/>
  <c r="I825" i="8"/>
  <c r="H825" i="8"/>
  <c r="F825" i="8"/>
  <c r="F522" i="8"/>
  <c r="I522" i="8"/>
  <c r="H522" i="8"/>
  <c r="G1518" i="5"/>
  <c r="F55" i="8"/>
  <c r="I55" i="8"/>
  <c r="H55" i="8"/>
  <c r="G1534" i="5"/>
  <c r="G291" i="5"/>
  <c r="I1010" i="8"/>
  <c r="F1010" i="8"/>
  <c r="H1010" i="8"/>
  <c r="F900" i="8"/>
  <c r="H900" i="8"/>
  <c r="I900" i="8" s="1"/>
  <c r="F538" i="8"/>
  <c r="H538" i="8"/>
  <c r="I538" i="8"/>
  <c r="H32" i="8"/>
  <c r="I32" i="8" s="1"/>
  <c r="F32" i="8"/>
  <c r="F544" i="8"/>
  <c r="H544" i="8"/>
  <c r="I544" i="8"/>
  <c r="G348" i="5"/>
  <c r="I555" i="8"/>
  <c r="F555" i="8"/>
  <c r="H555" i="8"/>
  <c r="F320" i="6"/>
  <c r="F656" i="8"/>
  <c r="H656" i="8"/>
  <c r="I656" i="8"/>
  <c r="G2607" i="5"/>
  <c r="G306" i="5"/>
  <c r="F1090" i="8"/>
  <c r="H1090" i="8"/>
  <c r="I1090" i="8"/>
  <c r="H1146" i="8"/>
  <c r="I1146" i="8" s="1"/>
  <c r="G3649" i="5"/>
  <c r="F593" i="8"/>
  <c r="H593" i="8"/>
  <c r="I593" i="8" s="1"/>
  <c r="I1298" i="8"/>
  <c r="H1298" i="8"/>
  <c r="F1298" i="8"/>
  <c r="G1565" i="5"/>
  <c r="F681" i="8"/>
  <c r="I681" i="8"/>
  <c r="H681" i="8"/>
  <c r="G4613" i="5"/>
  <c r="F722" i="8"/>
  <c r="H722" i="8"/>
  <c r="I722" i="8" s="1"/>
  <c r="H1258" i="8"/>
  <c r="F1258" i="8"/>
  <c r="I1258" i="8"/>
  <c r="F346" i="6"/>
  <c r="H588" i="8"/>
  <c r="I588" i="8" s="1"/>
  <c r="F588" i="8"/>
  <c r="G300" i="5"/>
  <c r="H1021" i="8"/>
  <c r="F1021" i="8"/>
  <c r="I1021" i="8"/>
  <c r="F176" i="6"/>
  <c r="F752" i="8"/>
  <c r="H752" i="8"/>
  <c r="I752" i="8"/>
  <c r="F138" i="8"/>
  <c r="H138" i="8"/>
  <c r="I138" i="8"/>
  <c r="G314" i="5"/>
  <c r="H696" i="8"/>
  <c r="F696" i="8"/>
  <c r="I696" i="8"/>
  <c r="I1023" i="8"/>
  <c r="H1023" i="8"/>
  <c r="F1023" i="8"/>
  <c r="F410" i="6"/>
  <c r="F412" i="8"/>
  <c r="H412" i="8"/>
  <c r="I412" i="8" s="1"/>
  <c r="H964" i="8"/>
  <c r="I964" i="8" s="1"/>
  <c r="F964" i="8"/>
  <c r="F528" i="8"/>
  <c r="H528" i="8"/>
  <c r="I528" i="8"/>
  <c r="F728" i="8"/>
  <c r="H728" i="8"/>
  <c r="I728" i="8"/>
  <c r="H705" i="8"/>
  <c r="I705" i="8"/>
  <c r="F705" i="8"/>
  <c r="G2615" i="5"/>
  <c r="F1328" i="8"/>
  <c r="H1328" i="8"/>
  <c r="I1328" i="8" s="1"/>
  <c r="F425" i="8"/>
  <c r="I425" i="8"/>
  <c r="H425" i="8"/>
  <c r="F435" i="8"/>
  <c r="I435" i="8"/>
  <c r="H435" i="8"/>
  <c r="F166" i="8"/>
  <c r="H166" i="8"/>
  <c r="I166" i="8" s="1"/>
  <c r="I1232" i="8"/>
  <c r="F1232" i="8"/>
  <c r="H1232" i="8"/>
  <c r="G5062" i="5"/>
  <c r="G1526" i="5"/>
  <c r="H51" i="8"/>
  <c r="I51" i="8" s="1"/>
  <c r="F51" i="8"/>
  <c r="F1002" i="8"/>
  <c r="H1002" i="8"/>
  <c r="I1002" i="8"/>
  <c r="F234" i="6"/>
  <c r="G5061" i="5"/>
  <c r="G2608" i="5"/>
  <c r="H4469" i="5"/>
  <c r="F808" i="8"/>
  <c r="I808" i="8"/>
  <c r="H808" i="8"/>
  <c r="H6" i="8"/>
  <c r="I6" i="8" s="1"/>
  <c r="F665" i="8"/>
  <c r="H665" i="8"/>
  <c r="I665" i="8"/>
  <c r="F1283" i="8"/>
  <c r="H1283" i="8"/>
  <c r="I1283" i="8" s="1"/>
  <c r="F127" i="8"/>
  <c r="H127" i="8"/>
  <c r="I127" i="8" s="1"/>
  <c r="G3650" i="5"/>
  <c r="F449" i="8"/>
  <c r="H449" i="8"/>
  <c r="I449" i="8"/>
  <c r="I619" i="8"/>
  <c r="H619" i="8"/>
  <c r="F619" i="8"/>
  <c r="H3879" i="5"/>
  <c r="F1057" i="8"/>
  <c r="H1057" i="8"/>
  <c r="I1057" i="8"/>
  <c r="G1542" i="5"/>
  <c r="F393" i="8"/>
  <c r="H393" i="8"/>
  <c r="I393" i="8"/>
  <c r="F530" i="8"/>
  <c r="H530" i="8"/>
  <c r="I530" i="8"/>
  <c r="F743" i="8"/>
  <c r="H743" i="8"/>
  <c r="I743" i="8"/>
  <c r="F944" i="8"/>
  <c r="I944" i="8"/>
  <c r="H944" i="8"/>
  <c r="F29" i="8"/>
  <c r="H29" i="8"/>
  <c r="I29" i="8" s="1"/>
  <c r="G2600" i="5"/>
  <c r="G2599" i="5"/>
  <c r="F48" i="8"/>
  <c r="H48" i="8"/>
  <c r="I48" i="8" s="1"/>
  <c r="F625" i="8"/>
  <c r="H625" i="8"/>
  <c r="I625" i="8"/>
  <c r="G4186" i="5"/>
  <c r="G3770" i="5"/>
  <c r="H1616" i="5"/>
  <c r="F617" i="8"/>
  <c r="H617" i="8"/>
  <c r="I617" i="8"/>
  <c r="F1025" i="8"/>
  <c r="H1025" i="8"/>
  <c r="I1025" i="8"/>
  <c r="F319" i="6"/>
  <c r="F433" i="8"/>
  <c r="H433" i="8"/>
  <c r="I433" i="8"/>
  <c r="F744" i="8"/>
  <c r="H744" i="8"/>
  <c r="I744" i="8"/>
  <c r="F441" i="8"/>
  <c r="H441" i="8"/>
  <c r="I441" i="8"/>
  <c r="F461" i="8"/>
  <c r="I461" i="8"/>
  <c r="H461" i="8"/>
  <c r="F515" i="8"/>
  <c r="H515" i="8"/>
  <c r="I515" i="8" s="1"/>
  <c r="G3295" i="5"/>
  <c r="G4525" i="5"/>
  <c r="G3301" i="5"/>
  <c r="G3149" i="5"/>
  <c r="F592" i="8"/>
  <c r="H592" i="8"/>
  <c r="I592" i="8"/>
  <c r="G5078" i="5"/>
  <c r="H3153" i="5"/>
  <c r="E922" i="8" s="1"/>
  <c r="F603" i="8"/>
  <c r="I603" i="8"/>
  <c r="H603" i="8"/>
  <c r="F123" i="8"/>
  <c r="H123" i="8"/>
  <c r="I123" i="8" s="1"/>
  <c r="F1200" i="8"/>
  <c r="I1200" i="8"/>
  <c r="H1200" i="8"/>
  <c r="G2616" i="5"/>
  <c r="F470" i="8"/>
  <c r="H470" i="8"/>
  <c r="I470" i="8"/>
  <c r="I1314" i="8"/>
  <c r="H1314" i="8"/>
  <c r="F1314" i="8"/>
  <c r="F536" i="8"/>
  <c r="H536" i="8"/>
  <c r="I536" i="8"/>
  <c r="I409" i="8"/>
  <c r="F409" i="8"/>
  <c r="H409" i="8"/>
  <c r="I1049" i="8"/>
  <c r="F1049" i="8"/>
  <c r="H1049" i="8"/>
  <c r="G1543" i="5"/>
  <c r="F648" i="8"/>
  <c r="H648" i="8"/>
  <c r="I648" i="8"/>
  <c r="H721" i="8"/>
  <c r="I721" i="8" s="1"/>
  <c r="F721" i="8"/>
  <c r="H2837" i="5"/>
  <c r="E867" i="8" s="1"/>
  <c r="G4185" i="5"/>
  <c r="F126" i="8"/>
  <c r="H776" i="8"/>
  <c r="I776" i="8"/>
  <c r="F776" i="8"/>
  <c r="G360" i="5"/>
  <c r="H4192" i="5"/>
  <c r="I792" i="8"/>
  <c r="F792" i="8"/>
  <c r="H792" i="8"/>
  <c r="G347" i="5"/>
  <c r="F635" i="8"/>
  <c r="H635" i="8"/>
  <c r="I635" i="8"/>
  <c r="F601" i="8"/>
  <c r="I601" i="8"/>
  <c r="H601" i="8"/>
  <c r="F488" i="8"/>
  <c r="H488" i="8"/>
  <c r="I488" i="8"/>
  <c r="F445" i="8"/>
  <c r="I445" i="8"/>
  <c r="H445" i="8"/>
  <c r="F688" i="8"/>
  <c r="I688" i="8"/>
  <c r="H688" i="8"/>
  <c r="F333" i="6"/>
  <c r="G3046" i="5"/>
  <c r="F1217" i="8"/>
  <c r="H1217" i="8"/>
  <c r="I1217" i="8"/>
  <c r="F913" i="8"/>
  <c r="H913" i="8"/>
  <c r="I913" i="8" s="1"/>
  <c r="F735" i="8"/>
  <c r="H735" i="8"/>
  <c r="I735" i="8"/>
  <c r="I608" i="8"/>
  <c r="F608" i="8"/>
  <c r="H608" i="8"/>
  <c r="F57" i="8"/>
  <c r="H57" i="8"/>
  <c r="I57" i="8"/>
  <c r="G3771" i="5"/>
  <c r="F957" i="8"/>
  <c r="H957" i="8"/>
  <c r="I957" i="8" s="1"/>
  <c r="H41" i="8"/>
  <c r="I41" i="8" s="1"/>
  <c r="F41" i="8"/>
  <c r="I1080" i="8"/>
  <c r="F1080" i="8"/>
  <c r="H1080" i="8"/>
  <c r="H600" i="8"/>
  <c r="I600" i="8"/>
  <c r="F600" i="8"/>
  <c r="F480" i="8"/>
  <c r="H480" i="8"/>
  <c r="I480" i="8"/>
  <c r="F512" i="8"/>
  <c r="H512" i="8"/>
  <c r="I512" i="8" s="1"/>
  <c r="F235" i="6"/>
  <c r="G4614" i="5"/>
  <c r="H2392" i="5"/>
  <c r="E382" i="8" s="1"/>
  <c r="F583" i="8"/>
  <c r="H583" i="8"/>
  <c r="I583" i="8" s="1"/>
  <c r="F46" i="8"/>
  <c r="H46" i="8"/>
  <c r="I46" i="8" s="1"/>
  <c r="H56" i="8"/>
  <c r="I56" i="8" s="1"/>
  <c r="H2384" i="5"/>
  <c r="E381" i="8" s="1"/>
  <c r="F716" i="8"/>
  <c r="H716" i="8"/>
  <c r="I716" i="8" s="1"/>
  <c r="H633" i="8"/>
  <c r="I633" i="8"/>
  <c r="F633" i="8"/>
  <c r="F170" i="8"/>
  <c r="I170" i="8"/>
  <c r="H170" i="8"/>
  <c r="H3608" i="5"/>
  <c r="F334" i="6"/>
  <c r="G1325" i="5"/>
  <c r="F586" i="8"/>
  <c r="H586" i="8"/>
  <c r="I586" i="8" s="1"/>
  <c r="G1558" i="5"/>
  <c r="F992" i="8"/>
  <c r="H992" i="8"/>
  <c r="I992" i="8" s="1"/>
  <c r="G299" i="5"/>
  <c r="F689" i="8"/>
  <c r="H689" i="8"/>
  <c r="I689" i="8"/>
  <c r="F411" i="6"/>
  <c r="G4524" i="5"/>
  <c r="F715" i="8"/>
  <c r="H715" i="8"/>
  <c r="I715" i="8" s="1"/>
  <c r="F396" i="8"/>
  <c r="H396" i="8"/>
  <c r="I396" i="8"/>
  <c r="G5063" i="5"/>
  <c r="F664" i="8"/>
  <c r="H664" i="8"/>
  <c r="I664" i="8"/>
  <c r="G435" i="5"/>
  <c r="H816" i="8"/>
  <c r="I816" i="8"/>
  <c r="F816" i="8"/>
  <c r="G1550" i="5"/>
  <c r="F249" i="6"/>
  <c r="G315" i="5"/>
  <c r="G359" i="5"/>
  <c r="F725" i="8"/>
  <c r="I725" i="8"/>
  <c r="H725" i="8"/>
  <c r="F697" i="8"/>
  <c r="I697" i="8"/>
  <c r="H697" i="8"/>
  <c r="G3183" i="5"/>
  <c r="F54" i="8"/>
  <c r="H54" i="8"/>
  <c r="I54" i="8" s="1"/>
  <c r="H122" i="8"/>
  <c r="I122" i="8" s="1"/>
  <c r="F122" i="8"/>
  <c r="H1515" i="5"/>
  <c r="F720" i="8"/>
  <c r="H720" i="8"/>
  <c r="I720" i="8" s="1"/>
  <c r="H3170" i="5"/>
  <c r="E925" i="8" s="1"/>
  <c r="H1531" i="5"/>
  <c r="F713" i="8"/>
  <c r="H713" i="8"/>
  <c r="I713" i="8" s="1"/>
  <c r="H1169" i="8"/>
  <c r="I1169" i="8" s="1"/>
  <c r="F389" i="6"/>
  <c r="G386" i="6" s="1"/>
  <c r="F380" i="6"/>
  <c r="G380" i="6" s="1"/>
  <c r="F1087" i="8"/>
  <c r="H1087" i="8"/>
  <c r="I1087" i="8" s="1"/>
  <c r="F151" i="8"/>
  <c r="H151" i="8"/>
  <c r="I151" i="8" s="1"/>
  <c r="E262" i="8" l="1"/>
  <c r="E1168" i="8"/>
  <c r="E282" i="8"/>
  <c r="F323" i="8"/>
  <c r="E249" i="8"/>
  <c r="F947" i="8"/>
  <c r="H971" i="8"/>
  <c r="I971" i="8" s="1"/>
  <c r="E994" i="8"/>
  <c r="E1135" i="8"/>
  <c r="F171" i="8"/>
  <c r="E251" i="8"/>
  <c r="E1082" i="8"/>
  <c r="E278" i="8"/>
  <c r="H1246" i="8"/>
  <c r="I1246" i="8" s="1"/>
  <c r="H1321" i="8"/>
  <c r="I1321" i="8" s="1"/>
  <c r="F6" i="8"/>
  <c r="H1323" i="8"/>
  <c r="I1323" i="8" s="1"/>
  <c r="H953" i="8"/>
  <c r="I953" i="8" s="1"/>
  <c r="F953" i="8"/>
  <c r="H1333" i="8"/>
  <c r="I1333" i="8" s="1"/>
  <c r="H99" i="8"/>
  <c r="I99" i="8" s="1"/>
  <c r="F99" i="8"/>
  <c r="F10" i="8"/>
  <c r="H1035" i="8"/>
  <c r="I1035" i="8" s="1"/>
  <c r="F566" i="8"/>
  <c r="H566" i="8"/>
  <c r="I566" i="8" s="1"/>
  <c r="H448" i="8"/>
  <c r="I448" i="8" s="1"/>
  <c r="F448" i="8"/>
  <c r="F1088" i="8"/>
  <c r="H1088" i="8"/>
  <c r="I1088" i="8" s="1"/>
  <c r="F420" i="8"/>
  <c r="H420" i="8"/>
  <c r="I420" i="8" s="1"/>
  <c r="G312" i="6"/>
  <c r="H5069" i="5"/>
  <c r="F857" i="8"/>
  <c r="H857" i="8"/>
  <c r="I857" i="8" s="1"/>
  <c r="F919" i="8"/>
  <c r="H919" i="8"/>
  <c r="I919" i="8" s="1"/>
  <c r="H4176" i="5"/>
  <c r="E1134" i="8" s="1"/>
  <c r="F302" i="6"/>
  <c r="G298" i="6" s="1"/>
  <c r="F345" i="6"/>
  <c r="G340" i="6" s="1"/>
  <c r="F11" i="6"/>
  <c r="H890" i="8"/>
  <c r="I890" i="8" s="1"/>
  <c r="F890" i="8"/>
  <c r="F45" i="8"/>
  <c r="H45" i="8"/>
  <c r="I45" i="8" s="1"/>
  <c r="F433" i="6"/>
  <c r="F313" i="8"/>
  <c r="H313" i="8"/>
  <c r="I313" i="8" s="1"/>
  <c r="F1018" i="8"/>
  <c r="H1018" i="8"/>
  <c r="I1018" i="8" s="1"/>
  <c r="F893" i="8"/>
  <c r="H893" i="8"/>
  <c r="I893" i="8" s="1"/>
  <c r="H3042" i="5"/>
  <c r="E903" i="8" s="1"/>
  <c r="H342" i="5"/>
  <c r="F40" i="8"/>
  <c r="H40" i="8"/>
  <c r="I40" i="8" s="1"/>
  <c r="F423" i="6"/>
  <c r="H3765" i="5"/>
  <c r="F1017" i="8"/>
  <c r="H1017" i="8"/>
  <c r="I1017" i="8" s="1"/>
  <c r="F865" i="8"/>
  <c r="H865" i="8"/>
  <c r="I865" i="8" s="1"/>
  <c r="H1122" i="8"/>
  <c r="I1122" i="8" s="1"/>
  <c r="F1122" i="8"/>
  <c r="F263" i="6"/>
  <c r="F27" i="8"/>
  <c r="H27" i="8"/>
  <c r="I27" i="8" s="1"/>
  <c r="F84" i="8"/>
  <c r="H84" i="8"/>
  <c r="I84" i="8" s="1"/>
  <c r="F889" i="8"/>
  <c r="H889" i="8"/>
  <c r="I889" i="8" s="1"/>
  <c r="F56" i="6"/>
  <c r="H1324" i="5"/>
  <c r="E228" i="8" s="1"/>
  <c r="F370" i="6"/>
  <c r="G366" i="6" s="1"/>
  <c r="F225" i="8"/>
  <c r="H225" i="8"/>
  <c r="I225" i="8" s="1"/>
  <c r="F101" i="6"/>
  <c r="F902" i="8"/>
  <c r="H902" i="8"/>
  <c r="I902" i="8" s="1"/>
  <c r="F300" i="8"/>
  <c r="H300" i="8"/>
  <c r="I300" i="8" s="1"/>
  <c r="F42" i="8"/>
  <c r="H42" i="8"/>
  <c r="I42" i="8" s="1"/>
  <c r="H152" i="8"/>
  <c r="I152" i="8" s="1"/>
  <c r="F152" i="8"/>
  <c r="F21" i="8"/>
  <c r="H21" i="8"/>
  <c r="I21" i="8" s="1"/>
  <c r="F1046" i="8"/>
  <c r="H1046" i="8"/>
  <c r="I1046" i="8" s="1"/>
  <c r="F322" i="8"/>
  <c r="H322" i="8"/>
  <c r="I322" i="8" s="1"/>
  <c r="H5054" i="5"/>
  <c r="F1340" i="8"/>
  <c r="H1340" i="8"/>
  <c r="I1340" i="8" s="1"/>
  <c r="F11" i="8"/>
  <c r="H11" i="8"/>
  <c r="I11" i="8" s="1"/>
  <c r="F923" i="8"/>
  <c r="H923" i="8"/>
  <c r="I923" i="8" s="1"/>
  <c r="F1115" i="8"/>
  <c r="H1115" i="8"/>
  <c r="I1115" i="8" s="1"/>
  <c r="F163" i="6"/>
  <c r="F991" i="8"/>
  <c r="H991" i="8"/>
  <c r="I991" i="8" s="1"/>
  <c r="H3145" i="5"/>
  <c r="E921" i="8" s="1"/>
  <c r="H2598" i="5"/>
  <c r="F868" i="8"/>
  <c r="H868" i="8"/>
  <c r="I868" i="8" s="1"/>
  <c r="F26" i="8"/>
  <c r="H26" i="8"/>
  <c r="I26" i="8" s="1"/>
  <c r="H360" i="8"/>
  <c r="I360" i="8" s="1"/>
  <c r="F360" i="8"/>
  <c r="F74" i="6"/>
  <c r="G227" i="6"/>
  <c r="F718" i="8"/>
  <c r="H718" i="8"/>
  <c r="I718" i="8" s="1"/>
  <c r="F248" i="6"/>
  <c r="G241" i="6" s="1"/>
  <c r="F65" i="6"/>
  <c r="G63" i="6" s="1"/>
  <c r="F273" i="6"/>
  <c r="H352" i="5"/>
  <c r="H1547" i="5"/>
  <c r="H435" i="5"/>
  <c r="E95" i="8" s="1"/>
  <c r="F374" i="6"/>
  <c r="G374" i="6" s="1"/>
  <c r="F272" i="6"/>
  <c r="H1136" i="8"/>
  <c r="I1136" i="8" s="1"/>
  <c r="F1136" i="8"/>
  <c r="F12" i="6"/>
  <c r="F8" i="8"/>
  <c r="H8" i="8"/>
  <c r="I8" i="8" s="1"/>
  <c r="F75" i="6"/>
  <c r="H44" i="8"/>
  <c r="I44" i="8" s="1"/>
  <c r="F44" i="8"/>
  <c r="H164" i="8"/>
  <c r="I164" i="8" s="1"/>
  <c r="F164" i="8"/>
  <c r="H912" i="8"/>
  <c r="I912" i="8" s="1"/>
  <c r="F912" i="8"/>
  <c r="H2614" i="5"/>
  <c r="F717" i="8"/>
  <c r="H717" i="8"/>
  <c r="I717" i="8" s="1"/>
  <c r="H4519" i="5"/>
  <c r="F965" i="8"/>
  <c r="H965" i="8"/>
  <c r="I965" i="8" s="1"/>
  <c r="F422" i="6"/>
  <c r="F292" i="6"/>
  <c r="G326" i="6"/>
  <c r="F12" i="8"/>
  <c r="H12" i="8"/>
  <c r="I12" i="8" s="1"/>
  <c r="F92" i="6"/>
  <c r="F1133" i="8"/>
  <c r="H1133" i="8"/>
  <c r="I1133" i="8" s="1"/>
  <c r="F262" i="6"/>
  <c r="H49" i="8"/>
  <c r="I49" i="8" s="1"/>
  <c r="F49" i="8"/>
  <c r="F579" i="8"/>
  <c r="H579" i="8"/>
  <c r="I579" i="8" s="1"/>
  <c r="F125" i="8"/>
  <c r="H125" i="8"/>
  <c r="I125" i="8" s="1"/>
  <c r="H866" i="8"/>
  <c r="I866" i="8" s="1"/>
  <c r="F866" i="8"/>
  <c r="H3643" i="5"/>
  <c r="E997" i="8" s="1"/>
  <c r="H306" i="5"/>
  <c r="E83" i="8" s="1"/>
  <c r="F270" i="8"/>
  <c r="H270" i="8"/>
  <c r="I270" i="8" s="1"/>
  <c r="H3177" i="5"/>
  <c r="F291" i="6"/>
  <c r="F57" i="6"/>
  <c r="F1107" i="8"/>
  <c r="H1107" i="8"/>
  <c r="I1107" i="8" s="1"/>
  <c r="F33" i="8"/>
  <c r="H33" i="8"/>
  <c r="I33" i="8" s="1"/>
  <c r="F102" i="6"/>
  <c r="H362" i="8"/>
  <c r="I362" i="8" s="1"/>
  <c r="F362" i="8"/>
  <c r="F273" i="8"/>
  <c r="H273" i="8"/>
  <c r="I273" i="8" s="1"/>
  <c r="H3293" i="5"/>
  <c r="E942" i="8" s="1"/>
  <c r="F157" i="8"/>
  <c r="H157" i="8"/>
  <c r="I157" i="8" s="1"/>
  <c r="F164" i="6"/>
  <c r="H47" i="8"/>
  <c r="I47" i="8" s="1"/>
  <c r="F47" i="8"/>
  <c r="G405" i="6"/>
  <c r="H1562" i="5"/>
  <c r="E255" i="8" s="1"/>
  <c r="F1131" i="8"/>
  <c r="H1131" i="8"/>
  <c r="I1131" i="8" s="1"/>
  <c r="F317" i="8"/>
  <c r="H317" i="8"/>
  <c r="I317" i="8" s="1"/>
  <c r="H1555" i="5"/>
  <c r="H144" i="8"/>
  <c r="I144" i="8" s="1"/>
  <c r="F1249" i="8"/>
  <c r="H1249" i="8"/>
  <c r="I1249" i="8" s="1"/>
  <c r="F91" i="6"/>
  <c r="H200" i="8"/>
  <c r="I200" i="8" s="1"/>
  <c r="F200" i="8"/>
  <c r="H3299" i="5"/>
  <c r="E943" i="8" s="1"/>
  <c r="F175" i="6"/>
  <c r="G170" i="6" s="1"/>
  <c r="H9" i="8"/>
  <c r="I9" i="8" s="1"/>
  <c r="F9" i="8"/>
  <c r="H1539" i="5"/>
  <c r="F719" i="8"/>
  <c r="H719" i="8"/>
  <c r="I719" i="8" s="1"/>
  <c r="H1523" i="5"/>
  <c r="F434" i="6"/>
  <c r="F124" i="8"/>
  <c r="H124" i="8"/>
  <c r="I124" i="8" s="1"/>
  <c r="H4612" i="5"/>
  <c r="H2606" i="5"/>
  <c r="H291" i="5"/>
  <c r="E82" i="8" s="1"/>
  <c r="F28" i="8"/>
  <c r="H28" i="8"/>
  <c r="I28" i="8" s="1"/>
  <c r="F924" i="8"/>
  <c r="H924" i="8"/>
  <c r="I924" i="8" s="1"/>
  <c r="F1291" i="8"/>
  <c r="H1291" i="8"/>
  <c r="I1291" i="8" s="1"/>
  <c r="F312" i="8"/>
  <c r="H312" i="8"/>
  <c r="I312" i="8" s="1"/>
  <c r="F309" i="8"/>
  <c r="H309" i="8"/>
  <c r="I309" i="8" s="1"/>
  <c r="H304" i="8"/>
  <c r="I304" i="8" s="1"/>
  <c r="F304" i="8"/>
  <c r="F894" i="8"/>
  <c r="H894" i="8"/>
  <c r="I894" i="8" s="1"/>
  <c r="F303" i="8"/>
  <c r="H303" i="8"/>
  <c r="I303" i="8" s="1"/>
  <c r="F184" i="8"/>
  <c r="H184" i="8"/>
  <c r="I184" i="8" s="1"/>
  <c r="F307" i="8"/>
  <c r="H307" i="8"/>
  <c r="I307" i="8" s="1"/>
  <c r="F308" i="8"/>
  <c r="H308" i="8"/>
  <c r="I308" i="8" s="1"/>
  <c r="H909" i="8"/>
  <c r="I909" i="8" s="1"/>
  <c r="F909" i="8"/>
  <c r="F332" i="8"/>
  <c r="H332" i="8"/>
  <c r="I332" i="8" s="1"/>
  <c r="F1121" i="8"/>
  <c r="H1121" i="8"/>
  <c r="I1121" i="8" s="1"/>
  <c r="F305" i="8"/>
  <c r="H305" i="8"/>
  <c r="I305" i="8" s="1"/>
  <c r="F879" i="8"/>
  <c r="H879" i="8"/>
  <c r="I879" i="8" s="1"/>
  <c r="F905" i="8"/>
  <c r="H905" i="8"/>
  <c r="I905" i="8" s="1"/>
  <c r="F1180" i="8"/>
  <c r="H1180" i="8"/>
  <c r="I1180" i="8" s="1"/>
  <c r="F344" i="8"/>
  <c r="H344" i="8"/>
  <c r="I344" i="8" s="1"/>
  <c r="F378" i="8"/>
  <c r="H378" i="8"/>
  <c r="I378" i="8" s="1"/>
  <c r="F898" i="8"/>
  <c r="H898" i="8"/>
  <c r="I898" i="8" s="1"/>
  <c r="F222" i="8"/>
  <c r="H222" i="8"/>
  <c r="I222" i="8" s="1"/>
  <c r="F891" i="8"/>
  <c r="H891" i="8"/>
  <c r="I891" i="8" s="1"/>
  <c r="F969" i="8"/>
  <c r="H969" i="8"/>
  <c r="I969" i="8" s="1"/>
  <c r="F361" i="8"/>
  <c r="H361" i="8"/>
  <c r="I361" i="8" s="1"/>
  <c r="F223" i="8"/>
  <c r="H223" i="8"/>
  <c r="I223" i="8" s="1"/>
  <c r="F318" i="8"/>
  <c r="H318" i="8"/>
  <c r="I318" i="8" s="1"/>
  <c r="H877" i="8"/>
  <c r="I877" i="8" s="1"/>
  <c r="F877" i="8"/>
  <c r="F263" i="8"/>
  <c r="H263" i="8"/>
  <c r="I263" i="8" s="1"/>
  <c r="F385" i="8"/>
  <c r="H385" i="8"/>
  <c r="I385" i="8" s="1"/>
  <c r="F266" i="8"/>
  <c r="H266" i="8"/>
  <c r="I266" i="8" s="1"/>
  <c r="F365" i="8"/>
  <c r="H365" i="8"/>
  <c r="I365" i="8" s="1"/>
  <c r="F878" i="8"/>
  <c r="H878" i="8"/>
  <c r="I878" i="8" s="1"/>
  <c r="F221" i="8"/>
  <c r="H221" i="8"/>
  <c r="I221" i="8" s="1"/>
  <c r="F895" i="8"/>
  <c r="H895" i="8"/>
  <c r="I895" i="8" s="1"/>
  <c r="F1123" i="8"/>
  <c r="H1123" i="8"/>
  <c r="I1123" i="8" s="1"/>
  <c r="F980" i="8"/>
  <c r="H980" i="8"/>
  <c r="I980" i="8" s="1"/>
  <c r="F311" i="8"/>
  <c r="H311" i="8"/>
  <c r="I311" i="8" s="1"/>
  <c r="E254" i="8" l="1"/>
  <c r="E1185" i="8"/>
  <c r="E87" i="8"/>
  <c r="E86" i="8"/>
  <c r="E1173" i="8"/>
  <c r="E253" i="8"/>
  <c r="E573" i="8"/>
  <c r="E1067" i="8"/>
  <c r="E1332" i="8"/>
  <c r="E252" i="8"/>
  <c r="E575" i="8"/>
  <c r="E250" i="8"/>
  <c r="E1331" i="8"/>
  <c r="E926" i="8"/>
  <c r="E574" i="8"/>
  <c r="H1347" i="8"/>
  <c r="I1347" i="8" s="1"/>
  <c r="F1347" i="8"/>
  <c r="H10" i="8"/>
  <c r="I10" i="8" s="1"/>
  <c r="F1034" i="8"/>
  <c r="H1034" i="8"/>
  <c r="I1034" i="8" s="1"/>
  <c r="F144" i="8"/>
  <c r="F211" i="8"/>
  <c r="H211" i="8"/>
  <c r="I211" i="8" s="1"/>
  <c r="F348" i="8"/>
  <c r="H348" i="8"/>
  <c r="I348" i="8" s="1"/>
  <c r="F256" i="8"/>
  <c r="H256" i="8"/>
  <c r="I256" i="8" s="1"/>
  <c r="F53" i="8"/>
  <c r="H53" i="8"/>
  <c r="I53" i="8" s="1"/>
  <c r="H90" i="8"/>
  <c r="I90" i="8" s="1"/>
  <c r="F90" i="8"/>
  <c r="H116" i="8"/>
  <c r="I116" i="8" s="1"/>
  <c r="G417" i="6"/>
  <c r="G88" i="6"/>
  <c r="G255" i="6"/>
  <c r="G287" i="6"/>
  <c r="G71" i="6"/>
  <c r="G269" i="6"/>
  <c r="H904" i="8"/>
  <c r="I904" i="8" s="1"/>
  <c r="F904" i="8"/>
  <c r="F1178" i="8"/>
  <c r="H1178" i="8"/>
  <c r="I1178" i="8" s="1"/>
  <c r="F18" i="8"/>
  <c r="H18" i="8"/>
  <c r="I18" i="8" s="1"/>
  <c r="F1118" i="8"/>
  <c r="H1118" i="8"/>
  <c r="I1118" i="8" s="1"/>
  <c r="F98" i="8"/>
  <c r="H98" i="8"/>
  <c r="I98" i="8" s="1"/>
  <c r="F859" i="8"/>
  <c r="H859" i="8"/>
  <c r="I859" i="8" s="1"/>
  <c r="F1154" i="8"/>
  <c r="H1154" i="8"/>
  <c r="I1154" i="8" s="1"/>
  <c r="F1065" i="8"/>
  <c r="H1065" i="8"/>
  <c r="I1065" i="8" s="1"/>
  <c r="G98" i="6"/>
  <c r="F1143" i="8"/>
  <c r="H1143" i="8"/>
  <c r="I1143" i="8" s="1"/>
  <c r="F1019" i="8"/>
  <c r="H1019" i="8"/>
  <c r="I1019" i="8" s="1"/>
  <c r="F1172" i="8"/>
  <c r="H1172" i="8"/>
  <c r="I1172" i="8" s="1"/>
  <c r="F204" i="8"/>
  <c r="H204" i="8"/>
  <c r="I204" i="8" s="1"/>
  <c r="F16" i="8"/>
  <c r="H16" i="8"/>
  <c r="I16" i="8" s="1"/>
  <c r="F849" i="8"/>
  <c r="H849" i="8"/>
  <c r="I849" i="8" s="1"/>
  <c r="F1175" i="8"/>
  <c r="H1175" i="8"/>
  <c r="I1175" i="8" s="1"/>
  <c r="F17" i="8"/>
  <c r="H17" i="8"/>
  <c r="I17" i="8" s="1"/>
  <c r="F330" i="8"/>
  <c r="H330" i="8"/>
  <c r="I330" i="8" s="1"/>
  <c r="F36" i="8"/>
  <c r="H36" i="8"/>
  <c r="I36" i="8" s="1"/>
  <c r="F1147" i="8"/>
  <c r="H1147" i="8"/>
  <c r="I1147" i="8" s="1"/>
  <c r="F14" i="8"/>
  <c r="H14" i="8"/>
  <c r="I14" i="8" s="1"/>
  <c r="F876" i="8"/>
  <c r="H876" i="8"/>
  <c r="I876" i="8" s="1"/>
  <c r="H75" i="8"/>
  <c r="I75" i="8" s="1"/>
  <c r="F75" i="8"/>
  <c r="F883" i="8"/>
  <c r="H883" i="8"/>
  <c r="I883" i="8" s="1"/>
  <c r="H977" i="8"/>
  <c r="I977" i="8" s="1"/>
  <c r="F977" i="8"/>
  <c r="F113" i="8"/>
  <c r="H113" i="8"/>
  <c r="I113" i="8" s="1"/>
  <c r="F284" i="8"/>
  <c r="H284" i="8"/>
  <c r="I284" i="8" s="1"/>
  <c r="F258" i="8"/>
  <c r="H258" i="8"/>
  <c r="I258" i="8" s="1"/>
  <c r="F118" i="8"/>
  <c r="H118" i="8"/>
  <c r="I118" i="8" s="1"/>
  <c r="F176" i="8"/>
  <c r="H176" i="8"/>
  <c r="I176" i="8" s="1"/>
  <c r="F289" i="8"/>
  <c r="H289" i="8"/>
  <c r="I289" i="8" s="1"/>
  <c r="G8" i="6"/>
  <c r="F993" i="8"/>
  <c r="H993" i="8"/>
  <c r="I993" i="8" s="1"/>
  <c r="F13" i="8"/>
  <c r="H13" i="8"/>
  <c r="I13" i="8" s="1"/>
  <c r="H275" i="8"/>
  <c r="I275" i="8" s="1"/>
  <c r="F278" i="8"/>
  <c r="F1168" i="8"/>
  <c r="F373" i="8"/>
  <c r="H373" i="8"/>
  <c r="I373" i="8" s="1"/>
  <c r="H1148" i="8"/>
  <c r="I1148" i="8" s="1"/>
  <c r="F1148" i="8"/>
  <c r="H19" i="8"/>
  <c r="I19" i="8" s="1"/>
  <c r="F19" i="8"/>
  <c r="F989" i="8"/>
  <c r="H989" i="8"/>
  <c r="I989" i="8" s="1"/>
  <c r="H276" i="8"/>
  <c r="I276" i="8" s="1"/>
  <c r="F276" i="8"/>
  <c r="H1074" i="8"/>
  <c r="I1074" i="8" s="1"/>
  <c r="F1074" i="8"/>
  <c r="F858" i="8"/>
  <c r="H858" i="8"/>
  <c r="I858" i="8" s="1"/>
  <c r="F121" i="8"/>
  <c r="H121" i="8"/>
  <c r="I121" i="8" s="1"/>
  <c r="F131" i="8"/>
  <c r="H131" i="8"/>
  <c r="I131" i="8" s="1"/>
  <c r="F1267" i="8"/>
  <c r="H1267" i="8"/>
  <c r="I1267" i="8" s="1"/>
  <c r="F1077" i="8"/>
  <c r="H1077" i="8"/>
  <c r="I1077" i="8" s="1"/>
  <c r="F1144" i="8"/>
  <c r="H1144" i="8"/>
  <c r="I1144" i="8" s="1"/>
  <c r="F259" i="8"/>
  <c r="H259" i="8"/>
  <c r="I259" i="8" s="1"/>
  <c r="F352" i="8"/>
  <c r="H352" i="8"/>
  <c r="I352" i="8" s="1"/>
  <c r="F1141" i="8"/>
  <c r="H1141" i="8"/>
  <c r="I1141" i="8" s="1"/>
  <c r="F226" i="8"/>
  <c r="H226" i="8"/>
  <c r="I226" i="8" s="1"/>
  <c r="G50" i="6"/>
  <c r="F302" i="8"/>
  <c r="H302" i="8"/>
  <c r="I302" i="8" s="1"/>
  <c r="F286" i="8"/>
  <c r="H286" i="8"/>
  <c r="I286" i="8" s="1"/>
  <c r="F78" i="8"/>
  <c r="H78" i="8"/>
  <c r="I78" i="8" s="1"/>
  <c r="H212" i="8"/>
  <c r="I212" i="8" s="1"/>
  <c r="F212" i="8"/>
  <c r="G4627" i="5"/>
  <c r="F100" i="8"/>
  <c r="H100" i="8"/>
  <c r="I100" i="8" s="1"/>
  <c r="H340" i="8"/>
  <c r="I340" i="8" s="1"/>
  <c r="F340" i="8"/>
  <c r="F93" i="8"/>
  <c r="H93" i="8"/>
  <c r="I93" i="8" s="1"/>
  <c r="F177" i="8"/>
  <c r="H177" i="8"/>
  <c r="I177" i="8" s="1"/>
  <c r="G156" i="6"/>
  <c r="F165" i="8"/>
  <c r="F1324" i="8"/>
  <c r="H1324" i="8"/>
  <c r="I1324" i="8" s="1"/>
  <c r="F392" i="8"/>
  <c r="H392" i="8"/>
  <c r="I392" i="8" s="1"/>
  <c r="F855" i="8"/>
  <c r="H855" i="8"/>
  <c r="I855" i="8" s="1"/>
  <c r="F1128" i="8"/>
  <c r="H1128" i="8"/>
  <c r="I1128" i="8" s="1"/>
  <c r="H1073" i="8"/>
  <c r="I1073" i="8" s="1"/>
  <c r="F1073" i="8"/>
  <c r="F1110" i="8"/>
  <c r="H1110" i="8"/>
  <c r="I1110" i="8" s="1"/>
  <c r="F911" i="8"/>
  <c r="H911" i="8"/>
  <c r="I911" i="8" s="1"/>
  <c r="F952" i="8"/>
  <c r="H952" i="8"/>
  <c r="I952" i="8" s="1"/>
  <c r="F1137" i="8"/>
  <c r="H1137" i="8"/>
  <c r="I1137" i="8" s="1"/>
  <c r="F1320" i="8"/>
  <c r="H1320" i="8"/>
  <c r="I1320" i="8" s="1"/>
  <c r="H210" i="8"/>
  <c r="I210" i="8" s="1"/>
  <c r="F210" i="8"/>
  <c r="F884" i="8"/>
  <c r="H884" i="8"/>
  <c r="I884" i="8" s="1"/>
  <c r="F281" i="8"/>
  <c r="F353" i="8"/>
  <c r="H353" i="8"/>
  <c r="I353" i="8" s="1"/>
  <c r="F85" i="8"/>
  <c r="H85" i="8"/>
  <c r="I85" i="8" s="1"/>
  <c r="F15" i="8"/>
  <c r="H15" i="8"/>
  <c r="I15" i="8" s="1"/>
  <c r="F870" i="8"/>
  <c r="H870" i="8"/>
  <c r="I870" i="8" s="1"/>
  <c r="F280" i="8"/>
  <c r="F880" i="8"/>
  <c r="H880" i="8"/>
  <c r="I880" i="8" s="1"/>
  <c r="F145" i="8"/>
  <c r="H145" i="8"/>
  <c r="I145" i="8" s="1"/>
  <c r="F153" i="8"/>
  <c r="H153" i="8"/>
  <c r="I153" i="8" s="1"/>
  <c r="F218" i="8"/>
  <c r="H218" i="8"/>
  <c r="I218" i="8" s="1"/>
  <c r="H326" i="8"/>
  <c r="I326" i="8" s="1"/>
  <c r="F1126" i="8"/>
  <c r="H1126" i="8"/>
  <c r="I1126" i="8" s="1"/>
  <c r="F7" i="8"/>
  <c r="H7" i="8"/>
  <c r="I7" i="8" s="1"/>
  <c r="F987" i="8"/>
  <c r="H987" i="8"/>
  <c r="I987" i="8" s="1"/>
  <c r="H881" i="8"/>
  <c r="I881" i="8" s="1"/>
  <c r="F881" i="8"/>
  <c r="F235" i="8"/>
  <c r="H235" i="8"/>
  <c r="I235" i="8" s="1"/>
  <c r="H496" i="8"/>
  <c r="I496" i="8" s="1"/>
  <c r="F496" i="8"/>
  <c r="F314" i="8"/>
  <c r="H314" i="8"/>
  <c r="I314" i="8" s="1"/>
  <c r="G429" i="6"/>
  <c r="H885" i="8"/>
  <c r="I885" i="8" s="1"/>
  <c r="F885" i="8"/>
  <c r="F856" i="8"/>
  <c r="H856" i="8"/>
  <c r="I856" i="8" s="1"/>
  <c r="H955" i="8"/>
  <c r="I955" i="8" s="1"/>
  <c r="F955" i="8"/>
  <c r="F1116" i="8"/>
  <c r="H1116" i="8"/>
  <c r="I1116" i="8" s="1"/>
  <c r="F932" i="8"/>
  <c r="H932" i="8"/>
  <c r="I932" i="8" s="1"/>
  <c r="H327" i="8"/>
  <c r="I327" i="8" s="1"/>
  <c r="F1119" i="8"/>
  <c r="H1119" i="8"/>
  <c r="I1119" i="8" s="1"/>
  <c r="H115" i="8"/>
  <c r="I115" i="8" s="1"/>
  <c r="F115" i="8"/>
  <c r="F192" i="8"/>
  <c r="H192" i="8"/>
  <c r="I192" i="8" s="1"/>
  <c r="F982" i="8"/>
  <c r="H982" i="8"/>
  <c r="I982" i="8" s="1"/>
  <c r="F143" i="8"/>
  <c r="H143" i="8"/>
  <c r="I143" i="8" s="1"/>
  <c r="F43" i="8"/>
  <c r="H43" i="8"/>
  <c r="I43" i="8" s="1"/>
  <c r="F150" i="8"/>
  <c r="H150" i="8"/>
  <c r="I150" i="8" s="1"/>
  <c r="F1142" i="8"/>
  <c r="H1142" i="8"/>
  <c r="I1142" i="8" s="1"/>
  <c r="F282" i="8"/>
  <c r="F918" i="8"/>
  <c r="H918" i="8"/>
  <c r="I918" i="8" s="1"/>
  <c r="F1081" i="8"/>
  <c r="H1081" i="8"/>
  <c r="I1081" i="8" s="1"/>
  <c r="F1182" i="8"/>
  <c r="H1182" i="8"/>
  <c r="I1182" i="8" s="1"/>
  <c r="F136" i="8"/>
  <c r="H136" i="8"/>
  <c r="I136" i="8" s="1"/>
  <c r="F287" i="8"/>
  <c r="H287" i="8"/>
  <c r="I287" i="8" s="1"/>
  <c r="H335" i="8"/>
  <c r="I335" i="8" s="1"/>
  <c r="F335" i="8"/>
  <c r="F240" i="8"/>
  <c r="H240" i="8"/>
  <c r="I240" i="8" s="1"/>
  <c r="F186" i="8"/>
  <c r="H186" i="8"/>
  <c r="I186" i="8" s="1"/>
  <c r="F102" i="8"/>
  <c r="H102" i="8"/>
  <c r="I102" i="8" s="1"/>
  <c r="F199" i="8"/>
  <c r="H199" i="8"/>
  <c r="I199" i="8" s="1"/>
  <c r="F216" i="8"/>
  <c r="H216" i="8"/>
  <c r="I216" i="8" s="1"/>
  <c r="F1256" i="8"/>
  <c r="H1256" i="8"/>
  <c r="I1256" i="8" s="1"/>
  <c r="F279" i="8"/>
  <c r="H279" i="8"/>
  <c r="I279" i="8" s="1"/>
  <c r="F1139" i="8"/>
  <c r="H1139" i="8"/>
  <c r="I1139" i="8" s="1"/>
  <c r="F1069" i="8"/>
  <c r="H1069" i="8"/>
  <c r="I1069" i="8" s="1"/>
  <c r="F209" i="8"/>
  <c r="H209" i="8"/>
  <c r="I209" i="8" s="1"/>
  <c r="H949" i="8"/>
  <c r="I949" i="8" s="1"/>
  <c r="F949" i="8"/>
  <c r="F197" i="8"/>
  <c r="H197" i="8"/>
  <c r="I197" i="8" s="1"/>
  <c r="F334" i="8"/>
  <c r="H334" i="8"/>
  <c r="I334" i="8" s="1"/>
  <c r="F343" i="8"/>
  <c r="H343" i="8"/>
  <c r="I343" i="8" s="1"/>
  <c r="H1076" i="8"/>
  <c r="I1076" i="8" s="1"/>
  <c r="F1076" i="8"/>
  <c r="F288" i="8"/>
  <c r="H288" i="8"/>
  <c r="I288" i="8" s="1"/>
  <c r="F148" i="8"/>
  <c r="H148" i="8"/>
  <c r="I148" i="8" s="1"/>
  <c r="F869" i="8"/>
  <c r="H869" i="8"/>
  <c r="I869" i="8" s="1"/>
  <c r="F1334" i="8"/>
  <c r="H1334" i="8"/>
  <c r="I1334" i="8" s="1"/>
  <c r="F120" i="8"/>
  <c r="H120" i="8"/>
  <c r="I120" i="8" s="1"/>
  <c r="F275" i="8"/>
  <c r="H203" i="8"/>
  <c r="I203" i="8" s="1"/>
  <c r="F203" i="8"/>
  <c r="F1337" i="8"/>
  <c r="H1337" i="8"/>
  <c r="I1337" i="8" s="1"/>
  <c r="F979" i="8"/>
  <c r="H979" i="8"/>
  <c r="I979" i="8" s="1"/>
  <c r="F325" i="8"/>
  <c r="H325" i="8"/>
  <c r="I325" i="8" s="1"/>
  <c r="F339" i="8"/>
  <c r="H339" i="8"/>
  <c r="I339" i="8" s="1"/>
  <c r="H117" i="8"/>
  <c r="I117" i="8" s="1"/>
  <c r="F117" i="8"/>
  <c r="F1085" i="8"/>
  <c r="H1085" i="8"/>
  <c r="I1085" i="8" s="1"/>
  <c r="H97" i="8"/>
  <c r="I97" i="8" s="1"/>
  <c r="F97" i="8"/>
  <c r="H1168" i="8"/>
  <c r="I1168" i="8" s="1"/>
  <c r="F1135" i="8"/>
  <c r="H1135" i="8"/>
  <c r="I1135" i="8" s="1"/>
  <c r="H278" i="8" l="1"/>
  <c r="I278" i="8" s="1"/>
  <c r="F116" i="8"/>
  <c r="H281" i="8"/>
  <c r="I281" i="8" s="1"/>
  <c r="F327" i="8"/>
  <c r="F326" i="8"/>
  <c r="H280" i="8"/>
  <c r="I280" i="8" s="1"/>
  <c r="H165" i="8"/>
  <c r="I165" i="8" s="1"/>
  <c r="F938" i="8"/>
  <c r="H938" i="8"/>
  <c r="I938" i="8" s="1"/>
  <c r="H282" i="8"/>
  <c r="I282" i="8" s="1"/>
  <c r="F922" i="8"/>
  <c r="F1163" i="8"/>
  <c r="H1163" i="8"/>
  <c r="I1163" i="8" s="1"/>
  <c r="F1066" i="8"/>
  <c r="H1066" i="8"/>
  <c r="I1066" i="8" s="1"/>
  <c r="F354" i="8"/>
  <c r="H354" i="8"/>
  <c r="I354" i="8" s="1"/>
  <c r="H1177" i="8"/>
  <c r="I1177" i="8" s="1"/>
  <c r="F1177" i="8"/>
  <c r="H1082" i="8"/>
  <c r="I1082" i="8" s="1"/>
  <c r="F935" i="8"/>
  <c r="H935" i="8"/>
  <c r="I935" i="8" s="1"/>
  <c r="F356" i="8"/>
  <c r="H356" i="8"/>
  <c r="I356" i="8" s="1"/>
  <c r="H933" i="8"/>
  <c r="I933" i="8" s="1"/>
  <c r="F933" i="8"/>
  <c r="F939" i="8"/>
  <c r="H939" i="8"/>
  <c r="I939" i="8" s="1"/>
  <c r="F886" i="8"/>
  <c r="H886" i="8"/>
  <c r="I886" i="8" s="1"/>
  <c r="F941" i="8"/>
  <c r="H941" i="8"/>
  <c r="I941" i="8" s="1"/>
  <c r="F994" i="8"/>
  <c r="F355" i="8"/>
  <c r="H355" i="8"/>
  <c r="I355" i="8" s="1"/>
  <c r="F159" i="8"/>
  <c r="H159" i="8"/>
  <c r="I159" i="8" s="1"/>
  <c r="F940" i="8"/>
  <c r="H940" i="8"/>
  <c r="I940" i="8" s="1"/>
  <c r="F283" i="8"/>
  <c r="H283" i="8"/>
  <c r="I283" i="8" s="1"/>
  <c r="F1117" i="8"/>
  <c r="H1117" i="8"/>
  <c r="I1117" i="8" s="1"/>
  <c r="F207" i="8"/>
  <c r="H207" i="8"/>
  <c r="I207" i="8" s="1"/>
  <c r="F936" i="8"/>
  <c r="H936" i="8"/>
  <c r="I936" i="8" s="1"/>
  <c r="F1132" i="8"/>
  <c r="H1132" i="8"/>
  <c r="I1132" i="8" s="1"/>
  <c r="F104" i="8"/>
  <c r="H104" i="8"/>
  <c r="I104" i="8" s="1"/>
  <c r="F1316" i="8"/>
  <c r="H1316" i="8"/>
  <c r="I1316" i="8" s="1"/>
  <c r="F937" i="8"/>
  <c r="H937" i="8"/>
  <c r="I937" i="8" s="1"/>
  <c r="H4620" i="5"/>
  <c r="F934" i="8"/>
  <c r="H934" i="8"/>
  <c r="I934" i="8" s="1"/>
  <c r="F925" i="8"/>
  <c r="G5119" i="5"/>
  <c r="G5118" i="5"/>
  <c r="F1277" i="8"/>
  <c r="H1277" i="8"/>
  <c r="I1277" i="8" s="1"/>
  <c r="F1330" i="8"/>
  <c r="H1330" i="8"/>
  <c r="I1330" i="8" s="1"/>
  <c r="H107" i="8"/>
  <c r="I107" i="8" s="1"/>
  <c r="F107" i="8"/>
  <c r="F1269" i="8"/>
  <c r="H1269" i="8"/>
  <c r="I1269" i="8" s="1"/>
  <c r="F190" i="8"/>
  <c r="H190" i="8"/>
  <c r="I190" i="8" s="1"/>
  <c r="F233" i="8"/>
  <c r="H233" i="8"/>
  <c r="I233" i="8" s="1"/>
  <c r="F1257" i="8"/>
  <c r="H1257" i="8"/>
  <c r="I1257" i="8" s="1"/>
  <c r="H1140" i="8"/>
  <c r="I1140" i="8" s="1"/>
  <c r="F1140" i="8"/>
  <c r="F227" i="8"/>
  <c r="H227" i="8"/>
  <c r="I227" i="8" s="1"/>
  <c r="F1317" i="8"/>
  <c r="H1317" i="8"/>
  <c r="I1317" i="8" s="1"/>
  <c r="F230" i="8"/>
  <c r="H230" i="8"/>
  <c r="I230" i="8" s="1"/>
  <c r="H1292" i="8"/>
  <c r="I1292" i="8" s="1"/>
  <c r="F1292" i="8"/>
  <c r="F1268" i="8"/>
  <c r="H1268" i="8"/>
  <c r="I1268" i="8" s="1"/>
  <c r="H236" i="8"/>
  <c r="I236" i="8" s="1"/>
  <c r="F236" i="8"/>
  <c r="H1290" i="8"/>
  <c r="I1290" i="8" s="1"/>
  <c r="F1290" i="8"/>
  <c r="F1266" i="8"/>
  <c r="H1266" i="8"/>
  <c r="I1266" i="8" s="1"/>
  <c r="F1319" i="8"/>
  <c r="H1319" i="8"/>
  <c r="I1319" i="8" s="1"/>
  <c r="F1111" i="8"/>
  <c r="H1111" i="8"/>
  <c r="I1111" i="8" s="1"/>
  <c r="H1288" i="8"/>
  <c r="I1288" i="8" s="1"/>
  <c r="F1288" i="8"/>
  <c r="F1322" i="8"/>
  <c r="H1322" i="8"/>
  <c r="I1322" i="8" s="1"/>
  <c r="F1112" i="8"/>
  <c r="H1112" i="8"/>
  <c r="I1112" i="8" s="1"/>
  <c r="E1237" i="8" l="1"/>
  <c r="F1332" i="8"/>
  <c r="H922" i="8"/>
  <c r="I922" i="8" s="1"/>
  <c r="F1082" i="8"/>
  <c r="H925" i="8"/>
  <c r="I925" i="8" s="1"/>
  <c r="H994" i="8"/>
  <c r="I994" i="8" s="1"/>
  <c r="F368" i="8"/>
  <c r="H368" i="8"/>
  <c r="I368" i="8" s="1"/>
  <c r="F262" i="8"/>
  <c r="H262" i="8"/>
  <c r="I262" i="8" s="1"/>
  <c r="G375" i="5"/>
  <c r="F364" i="8"/>
  <c r="H364" i="8"/>
  <c r="I364" i="8" s="1"/>
  <c r="G3504" i="5"/>
  <c r="G3376" i="5"/>
  <c r="F367" i="8"/>
  <c r="H367" i="8"/>
  <c r="I367" i="8" s="1"/>
  <c r="G1349" i="5"/>
  <c r="G3334" i="5"/>
  <c r="G3444" i="5"/>
  <c r="G5125" i="5"/>
  <c r="G5124" i="5"/>
  <c r="G3409" i="5"/>
  <c r="F369" i="8"/>
  <c r="H369" i="8"/>
  <c r="I369" i="8" s="1"/>
  <c r="G4405" i="5"/>
  <c r="G3635" i="5"/>
  <c r="G396" i="5"/>
  <c r="G3469" i="5"/>
  <c r="G3810" i="5"/>
  <c r="G441" i="5"/>
  <c r="G4357" i="5"/>
  <c r="F106" i="8"/>
  <c r="H106" i="8"/>
  <c r="I106" i="8" s="1"/>
  <c r="G429" i="5"/>
  <c r="G3566" i="5"/>
  <c r="G5146" i="5"/>
  <c r="G1812" i="5"/>
  <c r="F370" i="8"/>
  <c r="H370" i="8"/>
  <c r="I370" i="8" s="1"/>
  <c r="G3729" i="5"/>
  <c r="G4034" i="5"/>
  <c r="G4397" i="5"/>
  <c r="G3481" i="5"/>
  <c r="G4421" i="5"/>
  <c r="G3661" i="5"/>
  <c r="F384" i="8"/>
  <c r="H384" i="8"/>
  <c r="I384" i="8" s="1"/>
  <c r="G3677" i="5"/>
  <c r="G5127" i="5"/>
  <c r="G4341" i="5"/>
  <c r="G560" i="5"/>
  <c r="G3811" i="5"/>
  <c r="G5120" i="5"/>
  <c r="G3865" i="5"/>
  <c r="G426" i="5"/>
  <c r="G273" i="5"/>
  <c r="G4426" i="5"/>
  <c r="F366" i="8"/>
  <c r="H366" i="8"/>
  <c r="I366" i="8" s="1"/>
  <c r="F1301" i="8"/>
  <c r="H1301" i="8"/>
  <c r="I1301" i="8" s="1"/>
  <c r="G5126" i="5"/>
  <c r="G3860" i="5"/>
  <c r="G550" i="5"/>
  <c r="G3369" i="5"/>
  <c r="G3420" i="5"/>
  <c r="G695" i="5"/>
  <c r="G1362" i="5"/>
  <c r="H1332" i="8" l="1"/>
  <c r="I1332" i="8" s="1"/>
  <c r="H3415" i="5"/>
  <c r="H423" i="5"/>
  <c r="E94" i="8" s="1"/>
  <c r="H691" i="5"/>
  <c r="H558" i="5"/>
  <c r="E111" i="8" s="1"/>
  <c r="H4395" i="5"/>
  <c r="E1157" i="8" s="1"/>
  <c r="H3434" i="5"/>
  <c r="F1173" i="8"/>
  <c r="H1173" i="8"/>
  <c r="I1173" i="8" s="1"/>
  <c r="F381" i="8"/>
  <c r="H381" i="8"/>
  <c r="I381" i="8" s="1"/>
  <c r="H3727" i="5"/>
  <c r="F574" i="8"/>
  <c r="H574" i="8"/>
  <c r="I574" i="8" s="1"/>
  <c r="H3656" i="5"/>
  <c r="F867" i="8"/>
  <c r="H867" i="8"/>
  <c r="I867" i="8" s="1"/>
  <c r="H4352" i="5"/>
  <c r="E1153" i="8" s="1"/>
  <c r="H3799" i="5"/>
  <c r="H395" i="5"/>
  <c r="H3405" i="5"/>
  <c r="H3333" i="5"/>
  <c r="H5145" i="5"/>
  <c r="H3631" i="5"/>
  <c r="E996" i="8" s="1"/>
  <c r="H3375" i="5"/>
  <c r="H550" i="5"/>
  <c r="E110" i="8" s="1"/>
  <c r="H382" i="8"/>
  <c r="I382" i="8" s="1"/>
  <c r="F382" i="8"/>
  <c r="H269" i="5"/>
  <c r="E79" i="8" s="1"/>
  <c r="H3864" i="5"/>
  <c r="F1067" i="8"/>
  <c r="H1067" i="8"/>
  <c r="I1067" i="8" s="1"/>
  <c r="F1185" i="8"/>
  <c r="H1185" i="8"/>
  <c r="I1185" i="8" s="1"/>
  <c r="H3476" i="5"/>
  <c r="H3368" i="5"/>
  <c r="F573" i="8"/>
  <c r="H573" i="8"/>
  <c r="I573" i="8" s="1"/>
  <c r="H4425" i="5"/>
  <c r="E1162" i="8" s="1"/>
  <c r="H5116" i="5"/>
  <c r="F575" i="8"/>
  <c r="H575" i="8"/>
  <c r="I575" i="8" s="1"/>
  <c r="H4419" i="5"/>
  <c r="E1161" i="8" s="1"/>
  <c r="H4032" i="5"/>
  <c r="H3564" i="5"/>
  <c r="E986" i="8" s="1"/>
  <c r="H4403" i="5"/>
  <c r="E1158" i="8" s="1"/>
  <c r="H372" i="5"/>
  <c r="H1360" i="5"/>
  <c r="E234" i="8" s="1"/>
  <c r="H3856" i="5"/>
  <c r="E1078" i="8" s="1"/>
  <c r="H87" i="8"/>
  <c r="I87" i="8" s="1"/>
  <c r="F87" i="8"/>
  <c r="H4336" i="5"/>
  <c r="E1152" i="8" s="1"/>
  <c r="H3671" i="5"/>
  <c r="E1016" i="8" s="1"/>
  <c r="H1811" i="5"/>
  <c r="E290" i="8" s="1"/>
  <c r="H441" i="5"/>
  <c r="E96" i="8" s="1"/>
  <c r="H3459" i="5"/>
  <c r="H1347" i="5"/>
  <c r="E232" i="8" s="1"/>
  <c r="H3495" i="5"/>
  <c r="G1421" i="5"/>
  <c r="F249" i="8"/>
  <c r="H249" i="8"/>
  <c r="I249" i="8" s="1"/>
  <c r="H251" i="8"/>
  <c r="I251" i="8" s="1"/>
  <c r="F251" i="8"/>
  <c r="E973" i="8" l="1"/>
  <c r="E951" i="8"/>
  <c r="E999" i="8"/>
  <c r="E976" i="8"/>
  <c r="E89" i="8"/>
  <c r="E1070" i="8"/>
  <c r="E1059" i="8"/>
  <c r="E970" i="8"/>
  <c r="E130" i="8"/>
  <c r="E960" i="8"/>
  <c r="E1079" i="8"/>
  <c r="E972" i="8"/>
  <c r="E1114" i="8"/>
  <c r="E1344" i="8"/>
  <c r="E967" i="8"/>
  <c r="E959" i="8"/>
  <c r="E966" i="8"/>
  <c r="E1339" i="8"/>
  <c r="E91" i="8"/>
  <c r="H82" i="8"/>
  <c r="I82" i="8" s="1"/>
  <c r="F82" i="8"/>
  <c r="F903" i="8"/>
  <c r="H903" i="8"/>
  <c r="I903" i="8" s="1"/>
  <c r="F252" i="8"/>
  <c r="H252" i="8"/>
  <c r="I252" i="8" s="1"/>
  <c r="F1331" i="8"/>
  <c r="H1331" i="8"/>
  <c r="I1331" i="8" s="1"/>
  <c r="H1410" i="5"/>
  <c r="F250" i="8"/>
  <c r="H250" i="8"/>
  <c r="I250" i="8" s="1"/>
  <c r="F253" i="8"/>
  <c r="H253" i="8"/>
  <c r="I253" i="8" s="1"/>
  <c r="H1134" i="8"/>
  <c r="I1134" i="8" s="1"/>
  <c r="F1134" i="8"/>
  <c r="F943" i="8"/>
  <c r="H943" i="8"/>
  <c r="I943" i="8" s="1"/>
  <c r="F997" i="8"/>
  <c r="H997" i="8"/>
  <c r="I997" i="8" s="1"/>
  <c r="F228" i="8"/>
  <c r="H228" i="8"/>
  <c r="I228" i="8" s="1"/>
  <c r="F255" i="8"/>
  <c r="H255" i="8"/>
  <c r="I255" i="8" s="1"/>
  <c r="F926" i="8"/>
  <c r="H926" i="8"/>
  <c r="I926" i="8" s="1"/>
  <c r="H254" i="8"/>
  <c r="I254" i="8" s="1"/>
  <c r="F254" i="8"/>
  <c r="G1481" i="5"/>
  <c r="G1451" i="5"/>
  <c r="G1511" i="5"/>
  <c r="F942" i="8"/>
  <c r="H942" i="8"/>
  <c r="I942" i="8" s="1"/>
  <c r="F86" i="8"/>
  <c r="H86" i="8"/>
  <c r="I86" i="8" s="1"/>
  <c r="G1466" i="5"/>
  <c r="H921" i="8"/>
  <c r="I921" i="8" s="1"/>
  <c r="F921" i="8"/>
  <c r="G1436" i="5"/>
  <c r="F95" i="8"/>
  <c r="H95" i="8"/>
  <c r="I95" i="8" s="1"/>
  <c r="H83" i="8"/>
  <c r="I83" i="8" s="1"/>
  <c r="F83" i="8"/>
  <c r="G1496" i="5"/>
  <c r="E242" i="8" l="1"/>
  <c r="H1470" i="5"/>
  <c r="H1485" i="5"/>
  <c r="H1500" i="5"/>
  <c r="H1455" i="5"/>
  <c r="H1237" i="8"/>
  <c r="I1237" i="8" s="1"/>
  <c r="F1237" i="8"/>
  <c r="H1440" i="5"/>
  <c r="H1425" i="5"/>
  <c r="F1339" i="8"/>
  <c r="E246" i="8" l="1"/>
  <c r="E245" i="8"/>
  <c r="E244" i="8"/>
  <c r="E248" i="8"/>
  <c r="E243" i="8"/>
  <c r="E247" i="8"/>
  <c r="H1339" i="8"/>
  <c r="I1339" i="8" s="1"/>
  <c r="F976" i="8" l="1"/>
  <c r="H976" i="8"/>
  <c r="I976" i="8" s="1"/>
  <c r="F972" i="8"/>
  <c r="H972" i="8"/>
  <c r="I972" i="8" s="1"/>
  <c r="H967" i="8"/>
  <c r="I967" i="8" s="1"/>
  <c r="F967" i="8"/>
  <c r="H970" i="8"/>
  <c r="I970" i="8" s="1"/>
  <c r="F970" i="8"/>
  <c r="H999" i="8"/>
  <c r="I999" i="8" s="1"/>
  <c r="F999" i="8"/>
  <c r="H966" i="8"/>
  <c r="I966" i="8" s="1"/>
  <c r="F966" i="8"/>
  <c r="F1059" i="8"/>
  <c r="H1059" i="8"/>
  <c r="I1059" i="8" s="1"/>
  <c r="F973" i="8"/>
  <c r="H973" i="8"/>
  <c r="I973" i="8" s="1"/>
  <c r="F1152" i="8" l="1"/>
  <c r="H1152" i="8"/>
  <c r="I1152" i="8" s="1"/>
  <c r="F89" i="8"/>
  <c r="H89" i="8"/>
  <c r="I89" i="8" s="1"/>
  <c r="F94" i="8"/>
  <c r="H94" i="8"/>
  <c r="I94" i="8" s="1"/>
  <c r="F110" i="8"/>
  <c r="H110" i="8"/>
  <c r="I110" i="8" s="1"/>
  <c r="H1016" i="8"/>
  <c r="I1016" i="8" s="1"/>
  <c r="F1016" i="8"/>
  <c r="H1158" i="8"/>
  <c r="I1158" i="8" s="1"/>
  <c r="F1158" i="8"/>
  <c r="H111" i="8"/>
  <c r="I111" i="8" s="1"/>
  <c r="F111" i="8"/>
  <c r="F1114" i="8"/>
  <c r="H1114" i="8"/>
  <c r="I1114" i="8" s="1"/>
  <c r="H1078" i="8"/>
  <c r="I1078" i="8" s="1"/>
  <c r="F1078" i="8"/>
  <c r="F960" i="8"/>
  <c r="H960" i="8"/>
  <c r="I960" i="8" s="1"/>
  <c r="H1079" i="8"/>
  <c r="I1079" i="8" s="1"/>
  <c r="F1079" i="8"/>
  <c r="H986" i="8"/>
  <c r="I986" i="8" s="1"/>
  <c r="F986" i="8"/>
  <c r="H232" i="8"/>
  <c r="I232" i="8" s="1"/>
  <c r="F232" i="8"/>
  <c r="F96" i="8"/>
  <c r="H96" i="8"/>
  <c r="I96" i="8" s="1"/>
  <c r="F290" i="8"/>
  <c r="H290" i="8"/>
  <c r="I290" i="8" s="1"/>
  <c r="F1153" i="8"/>
  <c r="H1153" i="8"/>
  <c r="I1153" i="8" s="1"/>
  <c r="F242" i="8"/>
  <c r="H242" i="8"/>
  <c r="I242" i="8" s="1"/>
  <c r="F1344" i="8"/>
  <c r="H1344" i="8"/>
  <c r="I1344" i="8" s="1"/>
  <c r="F91" i="8"/>
  <c r="H91" i="8"/>
  <c r="I91" i="8" s="1"/>
  <c r="F1162" i="8"/>
  <c r="H1162" i="8"/>
  <c r="I1162" i="8" s="1"/>
  <c r="F234" i="8"/>
  <c r="H234" i="8"/>
  <c r="I234" i="8" s="1"/>
  <c r="F1161" i="8"/>
  <c r="H1161" i="8"/>
  <c r="I1161" i="8" s="1"/>
  <c r="F951" i="8"/>
  <c r="H951" i="8"/>
  <c r="I951" i="8" s="1"/>
  <c r="H1157" i="8"/>
  <c r="I1157" i="8" s="1"/>
  <c r="F1157" i="8"/>
  <c r="H1070" i="8"/>
  <c r="I1070" i="8" s="1"/>
  <c r="F1070" i="8"/>
  <c r="H959" i="8"/>
  <c r="I959" i="8" s="1"/>
  <c r="F959" i="8"/>
  <c r="H79" i="8"/>
  <c r="I79" i="8" s="1"/>
  <c r="F79" i="8"/>
  <c r="H996" i="8"/>
  <c r="I996" i="8" s="1"/>
  <c r="F996" i="8"/>
  <c r="F130" i="8"/>
  <c r="H130" i="8"/>
  <c r="I130" i="8" s="1"/>
  <c r="H246" i="8" l="1"/>
  <c r="I246" i="8" s="1"/>
  <c r="F246" i="8"/>
  <c r="F243" i="8"/>
  <c r="H243" i="8"/>
  <c r="I243" i="8" s="1"/>
  <c r="F248" i="8"/>
  <c r="H248" i="8"/>
  <c r="I248" i="8" s="1"/>
  <c r="I1359" i="8"/>
  <c r="I1358" i="8"/>
  <c r="H247" i="8"/>
  <c r="I247" i="8" s="1"/>
  <c r="F247" i="8"/>
  <c r="F244" i="8"/>
  <c r="H244" i="8"/>
  <c r="I244" i="8" s="1"/>
  <c r="F245" i="8"/>
  <c r="H245" i="8"/>
  <c r="I245" i="8" s="1"/>
</calcChain>
</file>

<file path=xl/sharedStrings.xml><?xml version="1.0" encoding="utf-8"?>
<sst xmlns="http://schemas.openxmlformats.org/spreadsheetml/2006/main" count="14856" uniqueCount="3837">
  <si>
    <t>COMPOSIÇÕES DE CUSTO UNITÁRIO</t>
  </si>
  <si>
    <t>ITEM</t>
  </si>
  <si>
    <t>DESCRIÇÃO</t>
  </si>
  <si>
    <t>DISCRIMINAÇÃO DA COMPOSIÇÃO</t>
  </si>
  <si>
    <t>UNIDADE</t>
  </si>
  <si>
    <t>COEFICIENTE</t>
  </si>
  <si>
    <t>CUSTO UNITÁRIO</t>
  </si>
  <si>
    <t>CUSTO TOTAL</t>
  </si>
  <si>
    <t>TOTAL DO SERVIÇO</t>
  </si>
  <si>
    <t>QTD</t>
  </si>
  <si>
    <t>SF-00001</t>
  </si>
  <si>
    <t>Engenheiro civil de obra junior com encargos complementares</t>
  </si>
  <si>
    <t>h</t>
  </si>
  <si>
    <t>SF-00002</t>
  </si>
  <si>
    <t>Mestre de obras com encargos complementares</t>
  </si>
  <si>
    <t>SF-00003</t>
  </si>
  <si>
    <t>Engenheiro Civil de Obra Pleno com encargos complementares</t>
  </si>
  <si>
    <t>SF-00004</t>
  </si>
  <si>
    <t>Engenheiro Civil Pleno com encargos complementares</t>
  </si>
  <si>
    <t>Anotação de Responsabilidade Técnica</t>
  </si>
  <si>
    <t>un</t>
  </si>
  <si>
    <t>SF-00005</t>
  </si>
  <si>
    <t>Pedreiro com Encargos Complementares</t>
  </si>
  <si>
    <t>Servente com Encargos Complementares</t>
  </si>
  <si>
    <t>SF-00006</t>
  </si>
  <si>
    <t>SF-00007</t>
  </si>
  <si>
    <t>SF-00008</t>
  </si>
  <si>
    <t>Montador de estrutura metálica com encargos complementares</t>
  </si>
  <si>
    <t>SF-00009</t>
  </si>
  <si>
    <t>SF-00010</t>
  </si>
  <si>
    <t>Eletricista com encargos complementares</t>
  </si>
  <si>
    <t>SF-00011</t>
  </si>
  <si>
    <t>Martelete ou rompedor pneumático manual, 28 kg, com silenciador - CHP diurno. AF_07/2016</t>
  </si>
  <si>
    <t>chp</t>
  </si>
  <si>
    <t>Martelete ou rompedor pneumático manual, 28 kg, com silenciador - CHI diurno. AF_07/2016</t>
  </si>
  <si>
    <t>chi</t>
  </si>
  <si>
    <t>Azulejista ou ladrilhista com encargos complementares</t>
  </si>
  <si>
    <t>SF-00012</t>
  </si>
  <si>
    <t>SF-00013</t>
  </si>
  <si>
    <t>Encanador ou Bombeiro Hidráulico com Encargos Complementares</t>
  </si>
  <si>
    <t>SF-00014</t>
  </si>
  <si>
    <t>CABO DE ACO GALVANIZADO, DIAMETRO 9,53 MM (3/8"), COM ALMA DE FIBRA 6 X 25 F</t>
  </si>
  <si>
    <t>kg</t>
  </si>
  <si>
    <t>SF-00016</t>
  </si>
  <si>
    <t>Carpinteiro de esquadria com encargos complementares</t>
  </si>
  <si>
    <t>SF-00017</t>
  </si>
  <si>
    <t>SF-00018</t>
  </si>
  <si>
    <t>SF-00019</t>
  </si>
  <si>
    <t>SF-00020</t>
  </si>
  <si>
    <t>SF-00021</t>
  </si>
  <si>
    <t>Ajudante especializado com encargos complementares</t>
  </si>
  <si>
    <t>SF-00022</t>
  </si>
  <si>
    <t>Ajudante de operação em geral com encargos complementares</t>
  </si>
  <si>
    <t>SF-00023</t>
  </si>
  <si>
    <t>Marmorista/graniteiro com encargos complementares</t>
  </si>
  <si>
    <t>SF-00024</t>
  </si>
  <si>
    <t>SF-00025</t>
  </si>
  <si>
    <t>SF-00026</t>
  </si>
  <si>
    <t>SF-00027</t>
  </si>
  <si>
    <t>SF-00028</t>
  </si>
  <si>
    <t>SF-00029</t>
  </si>
  <si>
    <t>SF-00030</t>
  </si>
  <si>
    <t>SF-00031</t>
  </si>
  <si>
    <t>SF-00032</t>
  </si>
  <si>
    <r>
      <t xml:space="preserve">Obs.: Remoção </t>
    </r>
    <r>
      <rPr>
        <b/>
        <u/>
        <sz val="10"/>
        <rFont val="Arial"/>
        <family val="2"/>
      </rPr>
      <t>com</t>
    </r>
    <r>
      <rPr>
        <b/>
        <sz val="10"/>
        <rFont val="Arial"/>
        <family val="2"/>
      </rPr>
      <t xml:space="preserve"> reaproveitamento</t>
    </r>
  </si>
  <si>
    <t>SF-00033</t>
  </si>
  <si>
    <t>SF-00034</t>
  </si>
  <si>
    <t>SF-00035</t>
  </si>
  <si>
    <t>Vidraceiro com encargos complementares</t>
  </si>
  <si>
    <t>SF-00036</t>
  </si>
  <si>
    <t>SF-00037</t>
  </si>
  <si>
    <t>SF-00038</t>
  </si>
  <si>
    <r>
      <t xml:space="preserve">Obs.: remoção </t>
    </r>
    <r>
      <rPr>
        <b/>
        <u/>
        <sz val="10"/>
        <rFont val="Arial"/>
        <family val="2"/>
      </rPr>
      <t>com</t>
    </r>
    <r>
      <rPr>
        <b/>
        <sz val="10"/>
        <rFont val="Arial"/>
        <family val="2"/>
      </rPr>
      <t xml:space="preserve"> reaproveitamento</t>
    </r>
  </si>
  <si>
    <t>SF-00039</t>
  </si>
  <si>
    <t>Auxiliar de eletricista com encargos complementares</t>
  </si>
  <si>
    <t>SF-00040</t>
  </si>
  <si>
    <t>SF-00041</t>
  </si>
  <si>
    <t>SF-00042</t>
  </si>
  <si>
    <t>Carpinteiro de formas com encargos complementares</t>
  </si>
  <si>
    <t>SF-00043</t>
  </si>
  <si>
    <t>SF-00044</t>
  </si>
  <si>
    <t>Montador eletromecãnico com encargos complementares</t>
  </si>
  <si>
    <t>SF-00045</t>
  </si>
  <si>
    <t>SF-00046</t>
  </si>
  <si>
    <t>SF-00048</t>
  </si>
  <si>
    <t>LOCACAO DE ANDAIME METALICO TIPO FACHADEIRO, LARGURA DE 1,20 M, ALTURA POR PECA DE 2,0 M, INCLUINDO SAPATAS E ITENS NECESSARIOS A INSTALACAO</t>
  </si>
  <si>
    <t>M2XMES</t>
  </si>
  <si>
    <t>SF-00049</t>
  </si>
  <si>
    <t>LOCACAO DE ANDAIME METALICO TUBULAR DE ENCAIXE, TIPO DE TORRE, COM LARGURA DE 1 ATE 1,5 M E ALTURA DE *1,00* M</t>
  </si>
  <si>
    <t>MXMES</t>
  </si>
  <si>
    <t>SF-00051</t>
  </si>
  <si>
    <t>CORDA DE POLIAMIDA 12 MM TIPO BOMBEIRO, PARA TRABALHO EM ALTURA</t>
  </si>
  <si>
    <t>100m</t>
  </si>
  <si>
    <t>SF-00057</t>
  </si>
  <si>
    <t>m</t>
  </si>
  <si>
    <t>Prego de aco polido com cabeca 18 x 27 (2 1/2 x 10)</t>
  </si>
  <si>
    <t>m2</t>
  </si>
  <si>
    <t>SF-00070</t>
  </si>
  <si>
    <t>Chapa de madeira compensada resinada 1,10 x 2,20 m # 6 mm</t>
  </si>
  <si>
    <t>SARRAFO DE MADEIRA NAO APARELHADA *2,5 X 10 CM, MACARANDUBA, ANGELIM OU EQUIVALENTE DA REGIAO</t>
  </si>
  <si>
    <t>TABUA DE MADEIRA NAO APARELHADA *2,5 X 30* CM, CEDRINHO OU EQUIVALENTE DA REGIAO</t>
  </si>
  <si>
    <t>PREGO DE ACO POLIDO COM CABECA 18 X 30 (2 3/4 X 10)</t>
  </si>
  <si>
    <t>Ajudante de pintor com encargos complementares</t>
  </si>
  <si>
    <t>Pintor com encargos complementares</t>
  </si>
  <si>
    <t>Oleo de linhaca</t>
  </si>
  <si>
    <t>L</t>
  </si>
  <si>
    <t>Cal hidratada para pintura</t>
  </si>
  <si>
    <t>Pigmento em po para argamassas, cimentos e outros</t>
  </si>
  <si>
    <t>SF-00073</t>
  </si>
  <si>
    <t>SF-00074</t>
  </si>
  <si>
    <t>Auxiliar de encanador ou bombeiro hidráulico com encargos complementares</t>
  </si>
  <si>
    <t>ARGAMASSA TRAÇO 1:3 (EM VOLUME DE CIMENTO E AREIA MÉDIA ÚMIDA), PREPARO MANUAL. AF_08/2019</t>
  </si>
  <si>
    <t>m3</t>
  </si>
  <si>
    <t>SF-00075</t>
  </si>
  <si>
    <t>SF-00076</t>
  </si>
  <si>
    <t>SF-00077</t>
  </si>
  <si>
    <t>LANÇAMENTO COM USO DE BALDES, ADENSAMENTO E ACABAMENTO DE CONCRETO EM ESTRUTURAS. AF_12/2015</t>
  </si>
  <si>
    <t>Areia media - posto jazida/fornecedor (retirado na jazida, sem transporte)</t>
  </si>
  <si>
    <t>Cimento Portland composto CP II-32</t>
  </si>
  <si>
    <t>Pedra britada n. 1 (9,5 a 19 mm) posto pedreira/fornecedor, sem frete</t>
  </si>
  <si>
    <t>Operador de betoneira estacionária/misturador com encargos complementares</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</si>
  <si>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</si>
  <si>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</si>
  <si>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CARGA, MANOBRAS E DESCARGA DE AREIA, BRITA, PEDRA DE MAO E SOLOS COM CAMINHAO BASCULANTE 6 M3 (DESCARGA LIVRE)</t>
  </si>
  <si>
    <t>M3</t>
  </si>
  <si>
    <t>TRANSPORTE COM CAMINHÃO BASCULANTE DE 6 M3, EM VIA URBANA PAVIMENTADA, DMT ATÉ 30 KM (UNIDADE: M3xKM). AF_01/2018</t>
  </si>
  <si>
    <t>M3xKM</t>
  </si>
  <si>
    <t>Obs.: Considerando fornecedor de areia e brita a 20 km do Senado Federal.</t>
  </si>
  <si>
    <t>SF-00078</t>
  </si>
  <si>
    <t>SF-00079</t>
  </si>
  <si>
    <t>LOCACAO DE ESCORA METALICA TELESCOPICA, COM ALTURA REGULAVEL DE *1,80* A *3,20*M, COM CAPACIDADE DE CARGA DE NO MINIMO 1000 KGF (10 KN), INCLUSO TRIPE E FORCADO</t>
  </si>
  <si>
    <t>MES</t>
  </si>
  <si>
    <t>Ajudante de carpinteiro com encargos complementares</t>
  </si>
  <si>
    <t>SF-00080</t>
  </si>
  <si>
    <t>ACETILENO (RECARGA PARA CILINDRO DE CONJUNTO OXICORTE GRANDE)</t>
  </si>
  <si>
    <t>CANTONEIRA ACO ABAS IGUAIS (QUALQUER BITOLA), ESPESSURA ENTRE 1/8" E 1/4"</t>
  </si>
  <si>
    <t>Chapa de aco USI-SAC 350, de (2,44x6)m, com espessura de 1/2"</t>
  </si>
  <si>
    <t>ELETRODO REVESTIDO AWS - E7018, DIAMETRO IGUAL A 4,00 MM</t>
  </si>
  <si>
    <t>OXIGENIO, RECARGA PARA CILINDRO DE CONJUNTO OXICORTE GRANDE</t>
  </si>
  <si>
    <t>Perfil "H" de aco carbono, padrao americano, de (6"x6")</t>
  </si>
  <si>
    <t>Perda em perfil de aco carbono tipo "H", de 6"x6" - 5% - equivalente ao elementar MAT095450</t>
  </si>
  <si>
    <t>Repintura interna ou externa sobre ferro, inclusive lixamento, limpeza, demao de tinta anti oxido Ferroloide ou equivalente e outra de tinta alquidica esmaltada Condor ou equivalente.</t>
  </si>
  <si>
    <t>Retificador de solda, eletrico, de 430A. Custo horario corrido.</t>
  </si>
  <si>
    <t>Talha Guincho manual de 10Kg, sem operador, com as seguintes especificacoes minimas: capacidade de icamento de 1500Kg e de tracao de 1800Kg, cabo de aco com curso ilimitado, alavanca, gancho e carretel. Custo horario corrido.</t>
  </si>
  <si>
    <t>SF-00081</t>
  </si>
  <si>
    <t>TABUA DE MADEIRA NAO APARELHADA *2,5 X 20* CM, CEDRINHO OU EQUIVALENTE DA REGIAO</t>
  </si>
  <si>
    <t>SF-00082</t>
  </si>
  <si>
    <t>Pedreiro Com Encargos Complementares</t>
  </si>
  <si>
    <t>Pedra britada n. 2 (19 a 38 mm) posto pedreira/fornecedor, sem frete</t>
  </si>
  <si>
    <t>Bloco de concreto tipo canaleta 11,5 x 19 x 39 cm</t>
  </si>
  <si>
    <t xml:space="preserve">un </t>
  </si>
  <si>
    <t>Aco CA-50, 10,0 mm, vergalhao</t>
  </si>
  <si>
    <t>SF-00083</t>
  </si>
  <si>
    <t>Argamassa polimerica impermeabilizante semiflexivel, bicomponente (membrana impermeabilizante acrilica)</t>
  </si>
  <si>
    <t>Impermeabilizador com encargos complementares</t>
  </si>
  <si>
    <t>SF-00084</t>
  </si>
  <si>
    <t>mil</t>
  </si>
  <si>
    <t>Tela de aco soldada galvanizada/zincada para alvenaria, fio D = *1,20 a 1,70* mm, malha 15 x 15 mm, (C x L) *50 x 7,5* cm</t>
  </si>
  <si>
    <t>Pino de aco com furo, haste = 27 mm (acao direta)</t>
  </si>
  <si>
    <t>cento</t>
  </si>
  <si>
    <t>ARGAMASSA TRAÇO 1:2:8 (EM VOLUME DE CIMENTO, CAL E AREIA MÉDIA ÚMIDA) PARA EMBOÇO/MASSA ÚNICA/ASSENTAMENTO DE ALVENARIA DE VEDAÇÃO, PREPARO MECÂNICO COM BETONEIRA 400 L. AF_08/2019</t>
  </si>
  <si>
    <t>SF-00085</t>
  </si>
  <si>
    <t>Pino de aco com arruela conica, diametro arruela = *23* mm e Comp haste = *27* mm (acao indireta)</t>
  </si>
  <si>
    <t>Perfil guia, formato U, em aco zincado, para estrutura parede drywall, E = 0,5 mm, 70 x 3000 mm (L x C)</t>
  </si>
  <si>
    <t>Perfil montante, formato C, em aco zincado, para estrutura parede drywall, E = 0,5 mm, 70 x 3000 mm (L x C)</t>
  </si>
  <si>
    <t>Fita de papel microperfurado, 50 x 150 mm, para tratamento de juntas de chapa de gesso para drywall</t>
  </si>
  <si>
    <t>Fita de papel reforcada com lamina de metal para reforco de cantos de chapa de gesso para drywall</t>
  </si>
  <si>
    <t>Parafuso dry wall, em aco fosfatizado, cabeca trombeta e ponta agulha (TA), comprimento 25 mm</t>
  </si>
  <si>
    <t>Parafuso dry wall, em aco zincado, cabeca lentilha e ponta broca (LB), largura 4,2 mm, comprimento 13 mm</t>
  </si>
  <si>
    <t>SF-00086</t>
  </si>
  <si>
    <t>ARGAMASSA TRAÇO 1:2:9 (EM VOLUME DE CIMENTO, CAL E AREIA MÉDIA ÚMIDA) PARA EMBOÇO/MASSA ÚNICA/ASSENTAMENTO DE ALVENARIA DE VEDAÇÃO, PREPARO MECÂNICO COM BETONEIRA 600 L. AF_08/2019</t>
  </si>
  <si>
    <t>SF-00087</t>
  </si>
  <si>
    <t>Pino De Aco Com Arruela Conica, Diametro Arruela = *23* Mm E Comp Haste = *27* Mm (Acao Indireta)</t>
  </si>
  <si>
    <t>Perfil Guia, Formato U, Em Aco Zincado, Para Estrutura Parede Drywall, E = 0,5 Mm, 70 X 3000 Mm (L X C)</t>
  </si>
  <si>
    <t>Perfil Montante, Formato C, Em Aco Zincado, Para Estrutura Parede Drywall, E = 0,5 Mm, 70 X 3000 Mm (L X C)</t>
  </si>
  <si>
    <t>Fita De Papel Microperfurado, 50 X 150 Mm, Para Tratamento De Juntas De Chapa De Gesso Para Drywall</t>
  </si>
  <si>
    <t>Fita De Papel Reforcada Com Lamina De Metal Para Reforco De Cantos De Chapa De Gesso Para Drywall</t>
  </si>
  <si>
    <t>Parafuso Dry Wall, Em Aco Fosfatizado, Cabeca Trombeta E Ponta Agulha (Ta), Comprimento 25 Mm</t>
  </si>
  <si>
    <t>Parafuso Dry Wall, Em Aco Zincado, Cabeca Lentilha E Ponta Broca (Lb), Largura 4,2 Mm, Comprimento 13 Mm</t>
  </si>
  <si>
    <t>SF-00088</t>
  </si>
  <si>
    <t>SF-00089</t>
  </si>
  <si>
    <t>Bloco ceramico de vedacao com furos na vertical, 9 x 19 x 39 cm - 4,5 MPa (NBR 15270)</t>
  </si>
  <si>
    <t>SF-00090</t>
  </si>
  <si>
    <t>ARGAMASSA INDUSTRIALIZADA PARA CHAPISCO COLANTE, PREPARO COM MISTURADOR DE EIXO HORIZONTAL DE 300 KG. AF_08/2019</t>
  </si>
  <si>
    <t>SF-00091</t>
  </si>
  <si>
    <t>ARGAMASSA TRAÇO 1:3 (EM VOLUME DE CIMENTO E AREIA GROSSA ÚMIDA) PARA CHAPISCO CONVENCIONAL, PREPARO MANUAL. AF_08/2019</t>
  </si>
  <si>
    <t>SF-00092</t>
  </si>
  <si>
    <t>Gesseiro com encargos complementares</t>
  </si>
  <si>
    <t>Gesso cola</t>
  </si>
  <si>
    <t>Obs.: Fonte para o coeficiente do gesso (0,75 kg/m2) : http://www.gessotrevo.com.br/gesso_cola.php - acesso em 16/08/18</t>
  </si>
  <si>
    <t>SF-00093</t>
  </si>
  <si>
    <t>Argamassa industrializada multiuso, para revestimento interno e externo e assentamento de blocos diversos</t>
  </si>
  <si>
    <t>Obs.: Rendimento de argamassa obtido como referência no SINAPI e no link abaixo. Extrato: "Revestimento: Em média 17,0 a 19,5 Kg/m2  para cada 1,0 cm de espessura, variando em função da aplicação".</t>
  </si>
  <si>
    <t>https://s3.amazonaws.com/mapa-da-obra-producao/wp-content/uploads/2015/12/2101-matrix-revestimento-interno.pdf</t>
  </si>
  <si>
    <t>SF-00094</t>
  </si>
  <si>
    <t>SF-00095</t>
  </si>
  <si>
    <t>Tela de poliéster adesiva largura 150mm e reforço central de 50mm</t>
  </si>
  <si>
    <t>RESINA ACRILICA BASE AGUA - COR BRANCA</t>
  </si>
  <si>
    <t>SELANTE A BASE DE RESINAS ACRILICAS PARA TRINCAS</t>
  </si>
  <si>
    <t>Obs.: Rendimento da resina e do selante de acordo com recomendações do fabricante (Bautech). Consumo médio. Selante: 5 m por kg. Resina: 165 m2 por embalagem de 18 L.</t>
  </si>
  <si>
    <t>http://www.bautechbrasil.com.br/produtos/selantes-especiais/bautech-selante-acr%C3%ADlico</t>
  </si>
  <si>
    <t>http://www.bautechbrasil.com.br/produtos/pinturas-especiais-e-complementos/bautech-resina-acr%C3%ADlica-multiuso</t>
  </si>
  <si>
    <t>SF-00096</t>
  </si>
  <si>
    <t>Fundo selador a base d'água</t>
  </si>
  <si>
    <t>SF-00097</t>
  </si>
  <si>
    <t>Fundo anticorrosivo e de aderência a base de água</t>
  </si>
  <si>
    <t xml:space="preserve">Obs.: Rendimento do fundo obtido de acordo com recomendação do fabricante. Consumo médio. </t>
  </si>
  <si>
    <t>https://www.sherwin-williams.com.br/produto-detalhe/metalatex-eco-complementos</t>
  </si>
  <si>
    <t>https://www.suvinil.com.br/upload/78d22676-91b1-4086-99ad-4258fadd7b08-suvinil-fundo-seca-rapidomaio2018.pdf</t>
  </si>
  <si>
    <t>SF-00098</t>
  </si>
  <si>
    <t>Lixa em folha para parede ou madeira, numero 120 (cor vermelha)</t>
  </si>
  <si>
    <t>Massa acrilica para paredes interior/exterior</t>
  </si>
  <si>
    <t>gl</t>
  </si>
  <si>
    <t>SF-00099</t>
  </si>
  <si>
    <t>Massa corrida PVA para paredes internas</t>
  </si>
  <si>
    <t>18L</t>
  </si>
  <si>
    <t>SF-00100</t>
  </si>
  <si>
    <t>Tinta acrilica premium, cor branco fosco</t>
  </si>
  <si>
    <t>SF-00101</t>
  </si>
  <si>
    <t>Verniz a base de água para madeira</t>
  </si>
  <si>
    <t>SF-00102</t>
  </si>
  <si>
    <t>Tinta esmalte sintetico a base de água</t>
  </si>
  <si>
    <t>SF-00103</t>
  </si>
  <si>
    <t>SF-00104</t>
  </si>
  <si>
    <t>REVESTIMENTO EM CERAMICA ESMALTADA EXTRA, PEI MAIOR OU IGUAL 4, FORMATO MAIOR A 2025 CM2</t>
  </si>
  <si>
    <t>SF-00105</t>
  </si>
  <si>
    <t>ARGAMASSA TRAÇO 1:4 (EM VOLUME DE CIMENTO E AREIA MÉDIA ÚMIDA) PARA CONTRAPISO, PREPARO MANUAL. AF_08/2019</t>
  </si>
  <si>
    <t>Aditivo adesivo liquido para argamassas de revestimentos cimenticios</t>
  </si>
  <si>
    <t>SF-00106</t>
  </si>
  <si>
    <t>SF-00107</t>
  </si>
  <si>
    <t>Granito Cinza Andorinha, com 20 mm de espessura, para piso</t>
  </si>
  <si>
    <t>SF-00108</t>
  </si>
  <si>
    <t>Granito Cinza Andorinha, com 20 mm de espessura e 70 mm de altura, para rodapé</t>
  </si>
  <si>
    <t>Obs: na pesquisa de preços do insumo, considerou-se 1 m de polimento a cada metro de rodapé.</t>
  </si>
  <si>
    <t>SF-00109</t>
  </si>
  <si>
    <t>Granito Cinza Andorinha, com 20 mm de espessura e 150 mm de altura, para soleira e peitoril</t>
  </si>
  <si>
    <t>Obs: na pesquisa de preços do insumo, considerou-se 1 m de polimento a cada metro de soleira.</t>
  </si>
  <si>
    <t>SF-00110</t>
  </si>
  <si>
    <t>Granito Preto São Gabriel, com 20 mm de espessura, para piso</t>
  </si>
  <si>
    <t>SF-00111</t>
  </si>
  <si>
    <t>Granito Preto São Gabriel, com 20 mm de espessura e 70 mm de altura, para rodapé</t>
  </si>
  <si>
    <t>SF-00112</t>
  </si>
  <si>
    <t>Granito Preto São Gabriel, com 20 mm de espessura e 150 mm de altura, para soleira e peitoril</t>
  </si>
  <si>
    <t>SF-00113</t>
  </si>
  <si>
    <t>SF-00114</t>
  </si>
  <si>
    <t>Mármore Bege Bahia, com 20 mm de espessura, para piso e parede</t>
  </si>
  <si>
    <t>SF-00115</t>
  </si>
  <si>
    <t>Mármore Branco Especial, com 20 mm de espessura, para piso e parede</t>
  </si>
  <si>
    <t>SF-00116</t>
  </si>
  <si>
    <t>Cola a base de resina sintetica para chapa de laminado melaminico</t>
  </si>
  <si>
    <t>SF-00117</t>
  </si>
  <si>
    <t>SF-00118</t>
  </si>
  <si>
    <t>SF-00119</t>
  </si>
  <si>
    <t>SF-00120</t>
  </si>
  <si>
    <t>SF-00121</t>
  </si>
  <si>
    <t>ABERTURA PARA ENCAIXE DE CUBA OU LAVATORIO EM BANCADA DE MARMORE/ GRANITO OU OUTRO TIPO DE PEDRA NATURAL</t>
  </si>
  <si>
    <t>SF-00122</t>
  </si>
  <si>
    <t>FURO PARA TORNEIRA OU OUTROS ACESSORIOS  EM BANCADA DE MARMORE/ GRANITO OU OUTRO TIPO DE PEDRA NATURAL</t>
  </si>
  <si>
    <t>SF-00123</t>
  </si>
  <si>
    <t>Granito Cinza Andorinha ou equivalente, com 20 mm de espessura e 150 mm de altura, polido, para rodabancada</t>
  </si>
  <si>
    <t>SF-00124</t>
  </si>
  <si>
    <t>Granito Cinza Andorinha, com 20 mm de espessura, polido, para bancadas, com testeira com acabamento em meia esquadria</t>
  </si>
  <si>
    <t>SF-00125</t>
  </si>
  <si>
    <t>Cimento branco</t>
  </si>
  <si>
    <t>Granito Cinza Andorinha ou equivalente, com 20 mm de espessura, polido em todas as faces aparentes, para divisórias</t>
  </si>
  <si>
    <t>ARGAMASSA TRAÇO 1:4 (EM VOLUME DE CIMENTO E AREIA MÉDIA ÚMIDA), PREPARO MANUAL. AF_08/2019</t>
  </si>
  <si>
    <t>SF-00126</t>
  </si>
  <si>
    <t>Granito Preto São Gabriel ou equivalente, com 20 mm de espessura e 150 mm de altura, polido, para rodabancada</t>
  </si>
  <si>
    <t>SF-00127</t>
  </si>
  <si>
    <t>Granito Preto São Gabriel ou equivalente, com 20 mm de espessura, polido, com testeira para acabamento em meia esquadria, para bancadas</t>
  </si>
  <si>
    <t>SF-00128</t>
  </si>
  <si>
    <t>SF-00129</t>
  </si>
  <si>
    <t>SF-00130</t>
  </si>
  <si>
    <t>SF-00131</t>
  </si>
  <si>
    <t>Mármore Branco Especial, com 20 mm de espessura e 150 mm de altura, polido, para rodabancada</t>
  </si>
  <si>
    <t>SF-00138</t>
  </si>
  <si>
    <t>Instalação de divisórias # 35 mm estruturadas em perfis de alumínio, mão de obra para execução</t>
  </si>
  <si>
    <t>SF-00139</t>
  </si>
  <si>
    <t>Perfil tipo cantoneira em L, em aco galvanizado, branco, para forro removivel, *23* x 3000 mm (L x C)</t>
  </si>
  <si>
    <t>Placa de PVC com espessura mínima de 5 mm na cor branca</t>
  </si>
  <si>
    <t>SF-00140</t>
  </si>
  <si>
    <t>ARAME GALVANIZADO 6 BWG, D = 5,16 MM (0,157 KG/M), OU 8 BWG, D = 4,19 MM (0,101 KG/M), OU 10 BWG, D = 3,40 MM (0,0713 KG/M)</t>
  </si>
  <si>
    <t>Forro de PVC, frisado, branco, regua de 10 cm, espessura de 8 mm a 10 mm e comprimento 6 m (sem colocacao)</t>
  </si>
  <si>
    <t>Perfil canaleta, formato C, em aco zincado, para estrutura forro drywall, E = 0,5 mm, *46 x 18* (L x H), comprimento 3 m</t>
  </si>
  <si>
    <t>Pendural ou presilha reguladora, em aco galvanizado, com corpo, mola e rebite, para perfil tipo canaleta de estrutura em forros drywall</t>
  </si>
  <si>
    <t>PARAFUSO ZINCADO, AUTOBROCANTE, FLANGEADO, 4,2 MM X 19 MM</t>
  </si>
  <si>
    <t>PARAFUSO, AUTO ATARRACHANTE, CABECA CHATA, FENDA SIMPLES, 1/4 (6,35 MM) X 25 MM</t>
  </si>
  <si>
    <t>SF-00141</t>
  </si>
  <si>
    <t>SF-00142</t>
  </si>
  <si>
    <t>Forro de PVC modular em placas de 625 mm x 1250 mm</t>
  </si>
  <si>
    <t>SF-00143</t>
  </si>
  <si>
    <t>Forro em chapa galvanizada</t>
  </si>
  <si>
    <t>Pintura eletrostática</t>
  </si>
  <si>
    <t>SF-00144</t>
  </si>
  <si>
    <t>SF-00145</t>
  </si>
  <si>
    <t>SF-00146</t>
  </si>
  <si>
    <t>FORRO DE FIBRA MINERAL EM PLACAS DE 625 X 625 MM, E = 15 MM, BORDA RETA, COM PINTURA ANTIMOFO, APOIADO EM PERFIL DE ACO GALVANIZADO COM 24 MM DE BASE - INSTALADO</t>
  </si>
  <si>
    <t>SF-00147</t>
  </si>
  <si>
    <t>Placa de fibra mineral para forro, de 625 x 625 mm, E = 15 mm, borda reta, com pintura antimofo (nao inclui perfis)</t>
  </si>
  <si>
    <t>UN</t>
  </si>
  <si>
    <t>SF-00148</t>
  </si>
  <si>
    <t>SF-00149</t>
  </si>
  <si>
    <t>SF-00150</t>
  </si>
  <si>
    <t>Perfil tabica fechada, lisa, formato Z, em aco galvanizado natural, largura total na horizontal *40* mm, para estrutura forro drywall</t>
  </si>
  <si>
    <t>SF-00151</t>
  </si>
  <si>
    <t>ADESIVO ACRILICO/COLA DE CONTATO</t>
  </si>
  <si>
    <t>SF-00152</t>
  </si>
  <si>
    <t>Baguetes metálicos</t>
  </si>
  <si>
    <t>SF-00153</t>
  </si>
  <si>
    <t>Massa para vidro</t>
  </si>
  <si>
    <t>SF-00154</t>
  </si>
  <si>
    <t>Parafuso frances M16 em aco galvanizado, comprimento = 45 mm, diametro = 16 mm, cabeca abaulada</t>
  </si>
  <si>
    <t>Espelho cristal comum #5mm</t>
  </si>
  <si>
    <t>SF-00155</t>
  </si>
  <si>
    <t>SF-00156</t>
  </si>
  <si>
    <t>Silicone acetico uso geral incolor 280 g</t>
  </si>
  <si>
    <t>Obs.: considerando que cada bisnaga rende, no mínimo, 3 m de aplicação.</t>
  </si>
  <si>
    <t>SF-00157</t>
  </si>
  <si>
    <t>Vidro liso incolor 4mm - sem colocacao</t>
  </si>
  <si>
    <t>SF-00158</t>
  </si>
  <si>
    <t>VIDRO LISO INCOLOR 6 MM - SEM COLOCACAO</t>
  </si>
  <si>
    <t>SF-00159</t>
  </si>
  <si>
    <t>SF-00160</t>
  </si>
  <si>
    <t>Mola Hidráulica de piso universal para portas de batente e portas vai-e-vem em aço inoxidável. Ref.: DORMA, modelo BTS 75V, com eixo intercambiável tipo "B"</t>
  </si>
  <si>
    <t>Impermeabilizante Dorma SealProtect</t>
  </si>
  <si>
    <t>SF-00161</t>
  </si>
  <si>
    <t>SF-00166</t>
  </si>
  <si>
    <t>Vedacao PVC, 100 mm, para saida vaso sanitario</t>
  </si>
  <si>
    <t>Tubo de ligação para bacia sanitária em PVC, com acabamento cromado, ajustável ou não. Ref.: DECA 1968C ou equivalente</t>
  </si>
  <si>
    <t>SF-00167</t>
  </si>
  <si>
    <t>Adesivo plastico para PVC, frasco com 850 gr</t>
  </si>
  <si>
    <t>Tubo PVC, serie R, DN 100 mm, para esgoto ou aguas pluviais predial (NBR 5688)</t>
  </si>
  <si>
    <t>Solucao limpadora para PVC, frasco com 1000 cm3</t>
  </si>
  <si>
    <t>Lixa d'agua em folha, grao 100</t>
  </si>
  <si>
    <t>SF-00168</t>
  </si>
  <si>
    <t>Tubo PVC, serie R, DN 40 mm, para esgoto ou aguas pluviais predial (NBR 5688)</t>
  </si>
  <si>
    <t>SF-00169</t>
  </si>
  <si>
    <t>Tubo PVC, serie R, DN 50 mm, para esgoto ou aguas pluviais predial (NBR 5688)</t>
  </si>
  <si>
    <t>SF-00170</t>
  </si>
  <si>
    <t>Tubo PVC, serie R, DN 75 mm, para esgoto ou aguas pluviais predial (NBR 5688)</t>
  </si>
  <si>
    <t>SF-00171</t>
  </si>
  <si>
    <t>Tubo PVC, soldavel, DN 25 mm, agua fria (NBR-5648)</t>
  </si>
  <si>
    <t>SF-00172</t>
  </si>
  <si>
    <t>Tubo PVC, soldavel, DN 32 mm, agua fria (NBR-5648)</t>
  </si>
  <si>
    <t>SF-00173</t>
  </si>
  <si>
    <t>Tubo PVC, soldavel, DN 40 mm, agua fria (NBR-5648)</t>
  </si>
  <si>
    <t>SF-00174</t>
  </si>
  <si>
    <t>TUBO PVC, SOLDAVEL, DN 50 MM, PARA AGUA FRIA (NBR-5648)</t>
  </si>
  <si>
    <t>SF-00175</t>
  </si>
  <si>
    <t>Base registro gaveta 3/4" em liga de cobre, mod 4509.202 ref: DECA ou equivalente</t>
  </si>
  <si>
    <t>FITA VEDA ROSCA EM ROLOS DE 18 MM X 50 M (L X C)</t>
  </si>
  <si>
    <t>SF-00176</t>
  </si>
  <si>
    <t>Anel borracha para tubo esgoto predial DN 75 mm (NBR 5688)</t>
  </si>
  <si>
    <t>Caixa sifonada PVC, 150 x 185 x 75 mm, com grelha quadrada branca</t>
  </si>
  <si>
    <t>Pasta lubrificante para tubos e conexoes com junta elastica (uso em PVC, aco, polietileno e outros) ( de *400* g)</t>
  </si>
  <si>
    <t>SF-00177</t>
  </si>
  <si>
    <t>CAIXA SIFONADA PVC, 250 X 230 X 75 MM, COM TAMPA E PORTA TAMPA QUADRADA BRANCA</t>
  </si>
  <si>
    <t>SF-00178</t>
  </si>
  <si>
    <t>Grelha quadrada para ralo, com caixilho, dimensões 10x10cm, em Aço polido, ref.: Moldenox ou equivalente</t>
  </si>
  <si>
    <t>SF-00179</t>
  </si>
  <si>
    <t>Grelha quadrada para ralo, com caixilho, dimensões 15x15cm, em Aço polido, ref.: Moldenox ou equivalente</t>
  </si>
  <si>
    <t>SF-00180</t>
  </si>
  <si>
    <t>Ralo seco PVC conico, 100 x 40 mm,  com grelha redonda branca</t>
  </si>
  <si>
    <t>SF-00181</t>
  </si>
  <si>
    <t>Assento poliéster com fixação cromada na cor branco gelo, ref: AP.75.17 – Linha Fast/Aspen – Deca ou equivalente</t>
  </si>
  <si>
    <t>SF-00182</t>
  </si>
  <si>
    <t>Bacia sanitaria (vaso) convencional de louca branca</t>
  </si>
  <si>
    <t>Parafuso niquelado com acabamento cromado para fixar peca sanitaria, inclui porca cega, arruela e bucha de nylon tamanho S-10</t>
  </si>
  <si>
    <t>SF-00183</t>
  </si>
  <si>
    <t>Bacia convencional com saída horizontal (Modelo P.90.17 – Linha Ravena – Deca)</t>
  </si>
  <si>
    <t>SF-00184</t>
  </si>
  <si>
    <t>Cuba oval de embutir, mod.: L37, cor branca ref: DECA ou equivalente</t>
  </si>
  <si>
    <t>Massa plastica para marmore/granito</t>
  </si>
  <si>
    <t>SF-00185</t>
  </si>
  <si>
    <t>Cuba retangular com as dimensões 0,34x0,40x0,18m, em aço Inox AISI 304 com acabamento em alto brilho, com válvula de escoamento, ref: Franke 12646 ou equivalente</t>
  </si>
  <si>
    <t>SF-00186</t>
  </si>
  <si>
    <t>Cuba semi-encaixe com mesa, mod.: L830 ref: DECA ou equivalente</t>
  </si>
  <si>
    <t>SF-00187</t>
  </si>
  <si>
    <t>Parafuso niquelado 3 1/2" com acabamento cromado para fixar peca sanitaria, inclui porca cega, arruela e bucha de nylon tamanho S-8</t>
  </si>
  <si>
    <t>SF-00188</t>
  </si>
  <si>
    <t>Fita veda rosca em rolos de 18 mm x 10 m (L x C)</t>
  </si>
  <si>
    <t>Obs.: Redução do coeficiente de MO, considerando que esse serviço não inclui engate flexível e válvula de descarga.</t>
  </si>
  <si>
    <t>SF-00189</t>
  </si>
  <si>
    <t>SF-00190</t>
  </si>
  <si>
    <t>Lavatorio louca branca suspenso *40 x 30* cm</t>
  </si>
  <si>
    <t>SF-00191</t>
  </si>
  <si>
    <t>Mictorio sifonado louca branca sem complementos</t>
  </si>
  <si>
    <t>SF-00192</t>
  </si>
  <si>
    <t>Tanque de louça com capacidade de 38 litros na cor branca, suspenso, sem coluna</t>
  </si>
  <si>
    <t>SF-00193</t>
  </si>
  <si>
    <t>Acabamento para registro de gaveta de 1 ¼” a 1 ½” (GD), cromado. Ref.: Modelo 4900.C35.GD – Linha Aspen – Deca</t>
  </si>
  <si>
    <t>SF-00194</t>
  </si>
  <si>
    <t>Acabamento para registro de gaveta e pressão até 1” (PQ), cromado. Ref.: Modelo, 4900.C35.PQ – Linha Aspen – Deca</t>
  </si>
  <si>
    <t>SF-00195</t>
  </si>
  <si>
    <t>Ducha higiênica com registro e derivação, com gatilho branco e flexível de 1,2m. Ref.: Modelo 1984.C35.ACT – Linha Aspen – Deca</t>
  </si>
  <si>
    <t>SF-00196</t>
  </si>
  <si>
    <t>SF-00197</t>
  </si>
  <si>
    <t>Engate / rabicho flexivel inox 1/2 " x 40 cm</t>
  </si>
  <si>
    <t>SF-00198</t>
  </si>
  <si>
    <t>Sifão regulável com tubo de saída corrugado para cozinha, cromado.  Ref.: Modelo VSM182 – Esteves</t>
  </si>
  <si>
    <t>SF-00199</t>
  </si>
  <si>
    <t>Sifao em metal cromado para pia ou lavatorio, 1 x 1.1/2 "</t>
  </si>
  <si>
    <t>SF-00200</t>
  </si>
  <si>
    <t>Sifao em metal cromado para tanque, 1.1/4 x 1.1/2 "</t>
  </si>
  <si>
    <t>SF-00201</t>
  </si>
  <si>
    <t>Torneira de mesa para cozinha, cromada. Ref.: Deca Targa 1167.C40.CR</t>
  </si>
  <si>
    <t>SF-00202</t>
  </si>
  <si>
    <t>Torneira de mesa bica móvel com arejador articulado para cozinha, cromada. Ref.: Código B5814C2CRB – Linha City – Celite</t>
  </si>
  <si>
    <t>SF-00203</t>
  </si>
  <si>
    <t>Torneira de mesa para lavatório, para uso clínico e apoio à pessoa. Ref.: Deca Link 1196.CLNK</t>
  </si>
  <si>
    <t>SF-00204</t>
  </si>
  <si>
    <t>Torneira de mesa para lavatorio, bica alta, com arejador, cromado. Ref.: Código B5810C2CRB – Linha City – Celite</t>
  </si>
  <si>
    <t>SF-00205</t>
  </si>
  <si>
    <t>Torneira de mesa para lavatorio bica baixa. Ref.: Código B5811C2CRB – Linha City – Celite</t>
  </si>
  <si>
    <t>SF-00206</t>
  </si>
  <si>
    <t>TORNEIRA CROMADA DE MESA PARA LAVATORIO TEMPORIZADA PRESSAO BICA BAIXA</t>
  </si>
  <si>
    <t>SF-00207</t>
  </si>
  <si>
    <t>Torneira de parede para cozinha bica móvel com arejador articulado, cromada. Ref.: Código B5815C2CRB – Linha City – Celite</t>
  </si>
  <si>
    <t>SF-00208</t>
  </si>
  <si>
    <t>Torneira cromada com bico para jardim/tanque 1/2 " ou 3/4 " (ref 1153)</t>
  </si>
  <si>
    <t>SF-00209</t>
  </si>
  <si>
    <t xml:space="preserve">Válvula de descarga 1 1/2" cromada. ref.: modelo 2565.C.112.CONF – linha Hydra Eco Conforto – Deca </t>
  </si>
  <si>
    <t>Fita veda rosca em rolos de 18 mm x 50 m (L x C)</t>
  </si>
  <si>
    <t>SF-00210</t>
  </si>
  <si>
    <t>Valvula de descarga metalica, base 1 1/2 " e acabamento metalico cromado</t>
  </si>
  <si>
    <t>SF-00211</t>
  </si>
  <si>
    <t>Válvula de descarga 1 1/4" . Ref.: Modelo 2565.C.114.CONF – Linha Hydra Eco Conforto – Deca</t>
  </si>
  <si>
    <t>SF-00212</t>
  </si>
  <si>
    <t>Valvula de descarga metalica, base 1 1/4 " e acabamento metalico cromado</t>
  </si>
  <si>
    <t>SF-00213</t>
  </si>
  <si>
    <t>Valvula em metal cromado para lavatorio, 1 " sem ladrao</t>
  </si>
  <si>
    <t>SF-00214</t>
  </si>
  <si>
    <t>Valvula em metal cromado para tanque, 1.1/2 " sem ladrao</t>
  </si>
  <si>
    <t>SF-00215</t>
  </si>
  <si>
    <t>Valvula de descarga em metal cromado para mictorio com acionamento por pressao e fechamento automatico</t>
  </si>
  <si>
    <t>SF-00216</t>
  </si>
  <si>
    <t xml:space="preserve">Alarme de emergência audiovisual intermitente com fio. Ref. Planeta Acessível Alarme PCD ou AbaFire AFSAVPNE + AbaFire AFAMPNE </t>
  </si>
  <si>
    <t>SF-00217</t>
  </si>
  <si>
    <t>Barra de apoio com comprimento de 405mm e espaçamento de 66mm da parede, barra com bitola de 32m, em aço escovado</t>
  </si>
  <si>
    <t>Bucha de nylon, diametro do furo 8 mm, comprimento 40 mm, com parafuso de rosca soberba, cabeca chata, fenda simples, 4,8 x 50 mm</t>
  </si>
  <si>
    <t>SF-00218</t>
  </si>
  <si>
    <t>Barra de apoio com comprimento de 705mm e espaçamento de 66mm da parede, barra com bitola de 32mm em aço escovado</t>
  </si>
  <si>
    <t>SF-00219</t>
  </si>
  <si>
    <t>Barra de apoio linha conforto com comprimento de 805mm e espaçamento de 66mm da parede, barra com bitola de 32mm em aço escovado</t>
  </si>
  <si>
    <t>SF-00220</t>
  </si>
  <si>
    <t>Barra de apoio lateral fixa, com 303mm de comprimento, com a bitola de 32mm e em aço escovado</t>
  </si>
  <si>
    <t>SF-00221</t>
  </si>
  <si>
    <t>Lavatório para instalação com coluna suspensa, para apoio à pessoa com deficiência. Ref.: Modelo L.39.17 – Linha Spot – Deca</t>
  </si>
  <si>
    <t>SF-00222</t>
  </si>
  <si>
    <t>Coluna suspensa para lavatório para apoio à pessoa com deficiência. Ref..: Deca Spot CS.39.17</t>
  </si>
  <si>
    <t>SF-00223</t>
  </si>
  <si>
    <t>Cabide, cromado. Ref.: Modelo 2060.C.FLX – Linha Flex – Deca</t>
  </si>
  <si>
    <t>Fixação utilizando parafuso e bucha de nylon, somente mão de obra. af_10/2016</t>
  </si>
  <si>
    <t>SF-00224</t>
  </si>
  <si>
    <t>Papeleira, cromada. Ref.: Modelo 2020.C.FLX – Linha Flex – Deca</t>
  </si>
  <si>
    <t>SF-00225</t>
  </si>
  <si>
    <t>Porta-toalha em argola, cromado. Ref.: Modelo 2050.C.FLX – Linha Flex – Deca</t>
  </si>
  <si>
    <t>SF-00226</t>
  </si>
  <si>
    <t>Porta-toalha em barra, cromado. Ref.: Modelo 2040.C.FLX – Linha Flex – Deca</t>
  </si>
  <si>
    <t>SF-00227</t>
  </si>
  <si>
    <t>Caixa de passagem, em PVC, de 4" x 2", para eletroduto flexivel corrugado</t>
  </si>
  <si>
    <t>SF-00228</t>
  </si>
  <si>
    <t>Caixa 4x2 para drywall</t>
  </si>
  <si>
    <t>SF-00229</t>
  </si>
  <si>
    <t>Caixa de passagem, em PVC, de 4" x 4", para eletroduto flexivel corrugado</t>
  </si>
  <si>
    <t>SF-00230</t>
  </si>
  <si>
    <t>Caixa 4x4 para drywall</t>
  </si>
  <si>
    <t>SF-00231</t>
  </si>
  <si>
    <t>Caixa de passagem em alumínio c/ tampa, 100x100x50mm</t>
  </si>
  <si>
    <t>SF-00232</t>
  </si>
  <si>
    <t>Caixa de passagem em alumínio c/ tampa, 200x200x100mm</t>
  </si>
  <si>
    <t>SF-00233</t>
  </si>
  <si>
    <t>CAIXA DE PASSAGEM ELETRICA DE PAREDE, DE EMBUTIR, EM PVC, COM TAMPA APARAFUSADA, DIMENSOES 150 X 150 X *75* MM</t>
  </si>
  <si>
    <t>SF-00234</t>
  </si>
  <si>
    <t>Caixa para piso elevado, 170 mm x 170 mm x 70 mm (dimensões aproximadas), incluindo módulos de tomadas 2P+T (fêmea).</t>
  </si>
  <si>
    <t>SF-00235</t>
  </si>
  <si>
    <t>Canaleta em alumínio com tampa, divisória interna, 73x25mm, incluindo curvas, conexões e acessórios de fixação</t>
  </si>
  <si>
    <t>SF-00236</t>
  </si>
  <si>
    <t>Bucha de nylon sem aba S6, com parafuso de 4,20 x 40 mm em aco zincado com rosca soberba, cabeca chata e fenda Phillips</t>
  </si>
  <si>
    <t>Condulete de aluminio tipo X, para eletroduto roscavel de 1", com tampa cega</t>
  </si>
  <si>
    <t>SF-00237</t>
  </si>
  <si>
    <t>Tiro com pistola para fixação de pino Ø 1/4" em concreto, inclusive cartucho e pino</t>
  </si>
  <si>
    <t>Eletrocalha perfurada (cabos elétricos) ou lisa (dados), tipo "U", de aço galvanizado eletrolítico 100 x 50 mm, fabricado em chapa #20 (0,95 mm)</t>
  </si>
  <si>
    <t>Barra roscada em aço Ø 1/4", comprimento 1 m, bicromatizada ou zincada</t>
  </si>
  <si>
    <t>PORCA ZINCADA, SEXTAVADA, DIAMETRO 1/4"</t>
  </si>
  <si>
    <t>Arruela em aço galvanizado Ø 1/4"</t>
  </si>
  <si>
    <t>Suporte suspensão vertical para eletrocalha 100 x 50 mm largura x aba</t>
  </si>
  <si>
    <t>Prolongador para tirante rosqueado de 1/4" x 50 mm</t>
  </si>
  <si>
    <t>Parafuso lentilha 1/4 x 1/2"</t>
  </si>
  <si>
    <t>Tala auto portante para emenda 50 mm</t>
  </si>
  <si>
    <t>Tampa de encaixe para eletrocalha aço galvanizado perfurada ou lisa, 100 mm</t>
  </si>
  <si>
    <t>SF-00238</t>
  </si>
  <si>
    <t>Eletrocalha perfurada (cabos elétricos) ou lisa (dados), tipo "U", de aço galvanizado eletrolítico 200 x 100 mm, fabricado em chapa #18 (1,25 mm)</t>
  </si>
  <si>
    <t>Suporte suspensão omega para eletrocalha 200 x 100mm largura x aba</t>
  </si>
  <si>
    <t>Tala auto portante para emenda 100 mm</t>
  </si>
  <si>
    <t>Tampa de encaixe para eletrocalha aço galvanizado perfurada ou lisa, 200 mm</t>
  </si>
  <si>
    <t>SF-00239</t>
  </si>
  <si>
    <t>Eletrocalha perfurada (cabos elétricos) ou lisa (dados), tipo "U", de aço galvanizado eletrolítico 200 x 50 mm, fabricado em chapa #18 (1,25 mm)</t>
  </si>
  <si>
    <t>Suporte suspensão omega para eletrocalha 200 x 50 mm largura x aba</t>
  </si>
  <si>
    <t>SF-00240</t>
  </si>
  <si>
    <t>Eletrocalha perfurada (cabos elétricos) ou lisa (dados), tipo "U", de aço galvanizado eletrolítico 300 x 100 mm, fabricado em chapa #18 (1,25 mm)</t>
  </si>
  <si>
    <t>Suporte suspensão omega para eletrocalha 300 x 100 mm largura x aba</t>
  </si>
  <si>
    <t>Tampa de encaixe para eletrocalha aço galvanizado perfurada ou lisa, 300 mm</t>
  </si>
  <si>
    <t>SF-00241</t>
  </si>
  <si>
    <t>Eletrocalha perfurada (cabos elétricos) ou lisa (dados), tipo "U", de aço galvanizado eletrolítico 300 x 050 mm, fabricado em chapa #18 (1,25 mm)</t>
  </si>
  <si>
    <t>Suporte suspensão omega para eletrocalha 300 x 50 mm largura x aba</t>
  </si>
  <si>
    <t>SF-00242</t>
  </si>
  <si>
    <t>Eletrocalha perfurada (cabos elétricos) ou lisa (dados), tipo "U", de aço galvanizado eletrolítico 400 x 050 mm, fabricado em chapa #16 (1,55 mm)</t>
  </si>
  <si>
    <t>Suporte suspensão omega para eletrocalha 400 x 50 mm largura x aba</t>
  </si>
  <si>
    <t>Tampa de encaixe para eletrocalha aço galvanizado perfurada ou lisa, 400 mm</t>
  </si>
  <si>
    <t>SF-00243</t>
  </si>
  <si>
    <t>Eletrocalha perfurada (cabos elétricos) ou lisa (dados), tipo "U", de aço galvanizado eletrolítico 50 x 50 mm, fabricado em chapa #22 (0,8 mm)</t>
  </si>
  <si>
    <t>Suporte suspensão vertical para eletrocalha 50 x 50 mm largura x aba</t>
  </si>
  <si>
    <t>Tampa de encaixe para eletrocalha aço galvanizado perfurada ou lisa, 50 mm</t>
  </si>
  <si>
    <t>SF-00244</t>
  </si>
  <si>
    <t>Eletroduto de aço com costura galvanização eletrolítica Ø 1 1/2"</t>
  </si>
  <si>
    <t>Fixação de tubos verticais de PPR diâmetros menores ou iguais a 40 mm com abraçadeira metálica rígida tipo D 1/2", fixada em perfilado em alvenaria. af_05/2015</t>
  </si>
  <si>
    <t>Luva de emenda para eletroduto, aço galvanizado, DN 40 mm (1 1/2''), aparente, instalada em parede - fornecimento e instalação. af_11/2016_p</t>
  </si>
  <si>
    <t>SF-00245</t>
  </si>
  <si>
    <t>Eletroduto de aço com costura galvanização eletrolítica Ø 1 1/4"</t>
  </si>
  <si>
    <t>Luva de emenda para eletroduto, aço galvanizado, DN 32 mm (1 1/4''), aparente, instalada em parede - fornecimento e instalação. af_11/2016_p</t>
  </si>
  <si>
    <t>SF-00246</t>
  </si>
  <si>
    <t>Eletroduto de aço com costura galvanização eletrolítica Ø 1"</t>
  </si>
  <si>
    <t>Luva de emenda para eletroduto, aço galvanizado, DN 25 mm (1''), aparente, instalada em parede - fornecimento e instalação. af_11/2016_p</t>
  </si>
  <si>
    <t>SF-00247</t>
  </si>
  <si>
    <t>Eletroduto de aço com costura galvanização eletrolítica Ø 2"</t>
  </si>
  <si>
    <t>FIXAÇÃO DE TUBOS VERTICAIS DE PPR DIÂMETROS MAIORES QUE 40 MM E MENORES OU IGUAIS A 75 MM COM ABRAÇADEIRA METÁLICA RÍGIDA TIPO D 2", FIXADA EM PERFILADO EM ALVENARIA. AF_05/2015</t>
  </si>
  <si>
    <t>M</t>
  </si>
  <si>
    <t>Luva de emenda para eletroduto, aço galvanizado, DN 50 mm (2''), aparente, instalada em parede - fornecimento e instalação. af_11/2016_p</t>
  </si>
  <si>
    <t>SF-00248</t>
  </si>
  <si>
    <t>Eletroduto de aço com costura galvanização eletrolítica Ø 3/4"</t>
  </si>
  <si>
    <t>Luva de emenda para eletroduto, aço galvanizado, DN 20 mm (3/4''), aparente, instalada em parede - fornecimento e instalação. af_11/2016_p</t>
  </si>
  <si>
    <t>SF-00249</t>
  </si>
  <si>
    <t>Eletroduto PVC flexivel corrugado, reforcado, cor laranja, de 32 mm, para lajes e pisos</t>
  </si>
  <si>
    <t>Fixação de tubos horizontais de PVC, CPVC ou cobre diâmetros menores ou iguais a 40 mm ou eletrocalhas até 150mm de largura, com abraçadeira metálica rígida tipo d 1/2, fixada em perfilado em laje. af_05/2015</t>
  </si>
  <si>
    <t>SF-00250</t>
  </si>
  <si>
    <t>Eletroduto PVC flexivel corrugado, reforcado, cor laranja, de 25 mm, para lajes e pisos</t>
  </si>
  <si>
    <t>SF-00251</t>
  </si>
  <si>
    <t>Eletroduto flexivel, em aco galvanizado, revestido externamente com PVC preto, diametro externo de 32 mm (1"), tipo sealtubo</t>
  </si>
  <si>
    <t>SF-00252</t>
  </si>
  <si>
    <t>Eletroduto flexivel, em aco galvanizado, revestido externamente com PVC preto, diametro externo de 25 mm (3/4"), tipo sealtubo</t>
  </si>
  <si>
    <t>SF-00253</t>
  </si>
  <si>
    <t>Perfilado perfurado em aço galvanizado # 18, 38 x 38 mm</t>
  </si>
  <si>
    <t>Suporte curto para perfilado em aço galvanizado # 22, 38 mm x 100 mm</t>
  </si>
  <si>
    <t>Tala 4 furos para emenda 38 mm</t>
  </si>
  <si>
    <t>Tampa de encaixe para perfilado em aço galvanizado 38 mm</t>
  </si>
  <si>
    <t>SF-00254</t>
  </si>
  <si>
    <t>Espelho / placa de 3 postos 4" x 2", para instalacao de tomadas e interruptores</t>
  </si>
  <si>
    <t>Suporte de fixacao para espelho / placa 4" x 2", para 3 modulos, para instalacao de tomadas e interruptores (somente suporte)</t>
  </si>
  <si>
    <t>SF-00255</t>
  </si>
  <si>
    <t>Espelho / placa de 6 postos 4" x 4", para instalacao de tomadas e interruptores</t>
  </si>
  <si>
    <t>Suporte de fixacao para espelho / placa 4" x 4", para 6 modulos, para instalacao de tomadas e interruptores (somente suporte)</t>
  </si>
  <si>
    <t>SF-00256</t>
  </si>
  <si>
    <t>Espelho cego redondo</t>
  </si>
  <si>
    <t>SF-00257</t>
  </si>
  <si>
    <t xml:space="preserve">Tampa para condulete alumínio para eletrodutos de 1", de sobrepor , com conexões e acessórios. </t>
  </si>
  <si>
    <t>Interruptor para condulete alumínio para eletrodutos de 1’’, de sobrepor, com conexões e acessórios.</t>
  </si>
  <si>
    <t>SF-00258</t>
  </si>
  <si>
    <t>Módulo cego</t>
  </si>
  <si>
    <t>SF-00259</t>
  </si>
  <si>
    <t>Interruptor paralelo 10A, 250V (apenas modulo)</t>
  </si>
  <si>
    <t>SF-00260</t>
  </si>
  <si>
    <t>Interruptor simples 10A, 250V (apenas modulo)</t>
  </si>
  <si>
    <t>SF-00261</t>
  </si>
  <si>
    <t>Módulo para saída de fio</t>
  </si>
  <si>
    <t>SF-00262</t>
  </si>
  <si>
    <t>Módulo sensor de presença</t>
  </si>
  <si>
    <t>SF-00263</t>
  </si>
  <si>
    <t>TOMADA 2P+T 10A, 250V  (APENAS MODULO)</t>
  </si>
  <si>
    <t>SF-00264</t>
  </si>
  <si>
    <t>TOMADA 2P+T 20A, 250V  (APENAS MODULO)</t>
  </si>
  <si>
    <t>SF-00265</t>
  </si>
  <si>
    <t/>
  </si>
  <si>
    <t>Porta equipamentos para canaleta de alumínio aparente</t>
  </si>
  <si>
    <t>SF-00266</t>
  </si>
  <si>
    <t xml:space="preserve">Tampa cega para caixa de piso 4x2 cromada. </t>
  </si>
  <si>
    <t>SF-00267</t>
  </si>
  <si>
    <t xml:space="preserve">Tampa cega para caixa de piso 4x4 cromada. </t>
  </si>
  <si>
    <t>SF-00268</t>
  </si>
  <si>
    <t>Tampa cega para condulete alumínio para eletrodutos de 1’’, de sobrepor, com conexões e acessórios.</t>
  </si>
  <si>
    <t>SF-00269</t>
  </si>
  <si>
    <t>Espelho para dois módulos RJ45 para condulete alumínio para eletrodutos de 1’’, de sobrepor, com conexões e acessórios.</t>
  </si>
  <si>
    <t>SF-00270</t>
  </si>
  <si>
    <t xml:space="preserve">Tomada para condulete alumínio para eletrodutos de 1’’, de sobrepor, com conexões e acessórios. </t>
  </si>
  <si>
    <t>SF-00271</t>
  </si>
  <si>
    <t>Caixa com tampa fixa em perfil para tomada em perfilado</t>
  </si>
  <si>
    <t>Tomada de embutir 2 polos + terra sem placa 250 V 10 A</t>
  </si>
  <si>
    <t>SF-00272</t>
  </si>
  <si>
    <t>Bloco autônomo (luminária de emergência). Ref.: Aureon BLOKITO BLK 500 (9901.0000.1079.05 – Aclaramento e 9901.0000.1128.05 – balizamento)</t>
  </si>
  <si>
    <t>SF-00273</t>
  </si>
  <si>
    <t>Cabo PP 3x2,5mm2 300/500 V, extraflexível (classe 5), com condutor de proteção, com isolação, enchimento e cobertura de PVC</t>
  </si>
  <si>
    <t>Plugue (macho) com 3 polos (2P+T), para 10A</t>
  </si>
  <si>
    <t>Plugue (fêmea) com 3 polos (2P+T), para 10A</t>
  </si>
  <si>
    <t>SF-00274</t>
  </si>
  <si>
    <t>Luminária de embutir T5 2 x 14W, ref: Intral DE-500 (cod. 08017); Lumicenter FAA20-E214</t>
  </si>
  <si>
    <t>Reator eletrônico 2x14W, ref: Philips EB214A26; Philips EL214-28A26; Lumicenter LEB. 214; MarGirus PB 2X14 AF2</t>
  </si>
  <si>
    <t>Lâmpada fluorescente T5 de 14W, ref: Osram HE 14W/840 SMARTLUX; Philips TL5-14W-HE/840; GE F14W/T5/840</t>
  </si>
  <si>
    <t>SF-00275</t>
  </si>
  <si>
    <t>Luminária de sobrepor T5 2 x 14W, ref: Intral DS-500 (cod. 08021); Lumicenter FAA20-S214</t>
  </si>
  <si>
    <t>SF-00276</t>
  </si>
  <si>
    <t>Luminária de embutir T5 2 x 28W, ref: Intral DE-500 (cod. 08025); Lumicenter FAA20-E228</t>
  </si>
  <si>
    <t>Reator eletrônico 2x28W, ref: Philips EB228A26; Philips EL214-28A26; Intral REH-T5 2x28/127-220/50-60 (cod. 02475); MarGirus PB 2X28 AF2.</t>
  </si>
  <si>
    <t>Lâmpada fluorescente T5 de 28W, ref: Osram HE 28W/840 SMARTLUX; Philips TL5-28W-HE/840; GE F28W/T5/840</t>
  </si>
  <si>
    <t>SF-00277</t>
  </si>
  <si>
    <t>Luminária de sobrepor T5 2 x 28W, ref: Intral DS-500 (cod. 08029); Lumicenter FAA20-S228</t>
  </si>
  <si>
    <t>SF-00278</t>
  </si>
  <si>
    <t>Cabo flexível isolado em EPR não halogenado 10 mm² 0,6 a 1 kV</t>
  </si>
  <si>
    <t>Fita isolante adesiva antichama, uso ate 750 V, em rolo de 19 mm x 5 m</t>
  </si>
  <si>
    <t>SF-00279</t>
  </si>
  <si>
    <t>Cabo flexível isolado em EPR não halogenado 16 mm² 0,6 a 1 kV</t>
  </si>
  <si>
    <t>SF-00280</t>
  </si>
  <si>
    <t>Cabo de cobre isolado PVC 450/750V 2,5mm² resistente a chamas, livre de halogênios</t>
  </si>
  <si>
    <t>SF-00281</t>
  </si>
  <si>
    <t>Cabo de cobre multipolar, classe 5, isolação em EPR, 0,6/1 kV, 3x2,5mm² resistente a chama, livre de halogênios</t>
  </si>
  <si>
    <t>SF-00282</t>
  </si>
  <si>
    <t>Cabo de cobre isolado PVC 450/750V 4mm² resistente a chamas, livre de halogênios</t>
  </si>
  <si>
    <t>SF-00283</t>
  </si>
  <si>
    <t>Cabo de cobre multipolar, classe 5, isolação em EPR, 0,6/1 kV, 4x2,5mm² resistente a chama, livre de halogênios</t>
  </si>
  <si>
    <t>SF-00284</t>
  </si>
  <si>
    <t>Cabo de cobre isolado PVC 450/750V 6mm² resistente a chamas, livre de halogênios</t>
  </si>
  <si>
    <t>SF-00285</t>
  </si>
  <si>
    <t>Quadro elétrico tipo TTA completo com 30 disjuntores terminais, contemplando disjuntores, dispositovos de proteção contra surto (DPS), módulo diferencial residual (DR), borneiras, barramentos e outros itens necessários, conforme especificação</t>
  </si>
  <si>
    <t>SF-00293</t>
  </si>
  <si>
    <t>MONTADOR ELETROMECÃNICO COM ENCARGOS COMPLEMENTARES</t>
  </si>
  <si>
    <t>SF-00294</t>
  </si>
  <si>
    <t>SF-00295</t>
  </si>
  <si>
    <t>Exaustor axial, 1F/220V/60Hz,  vazão máxima 340 m3/h, pressão estática máxima 104 Pa. Referência Comercial: Multivac Muro150B 220V</t>
  </si>
  <si>
    <t>SF-00296</t>
  </si>
  <si>
    <t>Exaustor axial, 1F/220V/60Hz,  vazão máxima 865 m3/h, pressão estática máxima 582 Pa . Referência Comercial: Multivac AXC 200B</t>
  </si>
  <si>
    <t>SF-00297</t>
  </si>
  <si>
    <t>Chapa de aco galvanizada bitola GSG 22, E = 0,80 mm (6,40 kg/m2)</t>
  </si>
  <si>
    <t>Suportes e acessórios de fixação de dutos em chapa de aço #22</t>
  </si>
  <si>
    <t>cj</t>
  </si>
  <si>
    <t>SF-00298</t>
  </si>
  <si>
    <t>Duto flexível com isolamento térmico e barreira de vapor, diâmetro 6”, 6 m de comprimento. Referência Comercial: Multivac Isodec RT 0.6</t>
  </si>
  <si>
    <t>SF-00299</t>
  </si>
  <si>
    <t>Duto flexível com isolamento térmico e barreira de vapor, diâmetro 8”, 6 m de comprimento. Referência: Multivac Isodec RT 0.6</t>
  </si>
  <si>
    <t>SF-00300</t>
  </si>
  <si>
    <t>Difusor de ar quadrado, 360x360 mm, Referência Comercial: Trox ADLQ-AG Nº4</t>
  </si>
  <si>
    <t>SF-00301</t>
  </si>
  <si>
    <t>Difusor de ar quadrado com caixa pleno AK6 360x360 mm. Ref.: Trox ADLK-AG Nº4</t>
  </si>
  <si>
    <t>SF-00302</t>
  </si>
  <si>
    <t>Difusor de ar quadrado para insuflamento em duas direções perpendiculares 376x376 mm, Referência Comercial: Trox  ADQ-2C-AG</t>
  </si>
  <si>
    <t>SF-00303</t>
  </si>
  <si>
    <t>Difusor de ar retangular para insuflamento em duas direções (fluxo na direção perpendicular às maiores arestas do retângulo), 371x208 mm. Ref.: Trox ADQ-2</t>
  </si>
  <si>
    <t>SF-00304</t>
  </si>
  <si>
    <t>Difusor de ar retangular para insuflamento em três direções (um fluxo na direção perpendicular às maiores arestas do retângulo e dois fluxos na direção perpendicular às menores arestas), 264x432 mm, Referência Comercial: Trox  ADQ-32-AG</t>
  </si>
  <si>
    <t>SF-00305</t>
  </si>
  <si>
    <t>Difusor de ar retangular para insuflamento em três direções 320x562 mm. Ref.: Trox ADQ-32-AG</t>
  </si>
  <si>
    <t>SF-00306</t>
  </si>
  <si>
    <t>Difusor de ar retangular para insuflamento em três direções (dois fluxos na direção perpendicular às maiores arestas do retângulo e um fluxo na direção perpendicular às menores arestas), 371x208 mm. Ref.: Trox ADQ-3</t>
  </si>
  <si>
    <t>SF-00307</t>
  </si>
  <si>
    <t>Difusor de ar retangular para insuflamento em uma direção (fluxo na direção perpendicular às maiores arestas do retângulo), 371x208 mm. Ref.: Trox ADQ-1</t>
  </si>
  <si>
    <t>SF-00308</t>
  </si>
  <si>
    <t>Grelha para retorno de ar com lâminas fixas e registro, 40 x 20 cm</t>
  </si>
  <si>
    <t>SF-00309</t>
  </si>
  <si>
    <t>Grelha para retorno de ar com lâminas fixas e registro, 50 x 30 cm</t>
  </si>
  <si>
    <t>SF-00310</t>
  </si>
  <si>
    <t>SF-00311</t>
  </si>
  <si>
    <t>SF-00312</t>
  </si>
  <si>
    <t>Marceneiro com encargos complementares</t>
  </si>
  <si>
    <t>SF-00313</t>
  </si>
  <si>
    <t>Bomba para condensado de ar-condicionado para instalação oculta, 1F/220V/60Hz, vazão 14 l/h (a 0 mmca). Ref.: Elgin Mini Orange</t>
  </si>
  <si>
    <t>SF-00314</t>
  </si>
  <si>
    <t>Fita aluminizada 48 mm</t>
  </si>
  <si>
    <t>SF-00315</t>
  </si>
  <si>
    <t>Fita PVC 100 mm</t>
  </si>
  <si>
    <t>SF-00316</t>
  </si>
  <si>
    <t>Mangueira emborrachada 3/4"</t>
  </si>
  <si>
    <t>SF-00317</t>
  </si>
  <si>
    <t>Serralheiro com encargos complementares</t>
  </si>
  <si>
    <t>Auxiliar de serralheiro com encargos complementares</t>
  </si>
  <si>
    <t>Suporte para unidade condensadora de aparelho split ou fancolete</t>
  </si>
  <si>
    <t>SF-00318</t>
  </si>
  <si>
    <t>Suporte para unidade evaporadora de aparelho split ou fancolete</t>
  </si>
  <si>
    <t>SF-00319</t>
  </si>
  <si>
    <t>Filtro em Y 1" (DN 25 mm), fabricado em bronze, extremidade com roscas, filtro em aço inoxidável, classe de pressão PN20 ou superior. Ref.: Deca 000.085.100.03</t>
  </si>
  <si>
    <t>SF-00320</t>
  </si>
  <si>
    <t>Filtro em Y 3/4" (DN 20 mm), fabricado em bronze, extremidade com roscas, filtro em aço inoxidável, classe de pressão PN20 ou superior. Ref.: Deca 000.085.034.03</t>
  </si>
  <si>
    <t>SF-00321</t>
  </si>
  <si>
    <t>Atuador tipo liga/desliga (ON/OFF), com tensão compatível com o restante do sistema (24 V ou 220 V) e mecanicamente compatível com a válvula fornecida. Referência comercial: IMI Hydronic Engineering EMO-T</t>
  </si>
  <si>
    <t>Válvula de balanceamento e controle (PIBCV) 2 vias, para controle on-off, diâmetro nominal 1" (25 mm). Ref.: IMI Hydronic Engineering TA-COMPACT-P DN 25, Honeywell VRN2C</t>
  </si>
  <si>
    <t>SF-00322</t>
  </si>
  <si>
    <t>Válvula de balanceamento e controle (PIBCV) 2 vias, para controle on-off, diâmetro nominal 3/4" (20 mm). Ref.: IMI Hydronic Engineering TA-COMPACT-P DN 20, Honeywell VRN2B</t>
  </si>
  <si>
    <t>SF-00323</t>
  </si>
  <si>
    <t>VALVULA DE ESFERA BRUTA EM BRONZE, BITOLA 1 1/2 " (REF 1552-B)</t>
  </si>
  <si>
    <t>SF-00324</t>
  </si>
  <si>
    <t>VALVULA DE ESFERA BRUTA EM BRONZE, BITOLA 1 1/4 " (REF 1552-B)</t>
  </si>
  <si>
    <t>SF-00325</t>
  </si>
  <si>
    <t>Valvula de esfera bruta em bronze, bitola 1 " (ref 1552-B)</t>
  </si>
  <si>
    <t>SF-00326</t>
  </si>
  <si>
    <t>Valvula de esfera bruta em bronze, bitola 3/4 " (ref 1552-B)</t>
  </si>
  <si>
    <t>SF-00327</t>
  </si>
  <si>
    <t>Isolamento elastomérico em formato prancha autoadesiva de espessura M. Ref.: AF/Armaflex M-99/E-A, K-Flex ST</t>
  </si>
  <si>
    <t>SF-00328</t>
  </si>
  <si>
    <t>Isolamento elastomérico em formato de tubo ou coquilha de espessura M, próprio para tubulação de cobre de diâmetro nominal 1 1/8" e para tubulações de ferro de diâmetro nominal 3/4". Ref.: AF/Armaflex M-28, K-Flex ST</t>
  </si>
  <si>
    <t>Obs.: As seguintes proporções foram consideradas quanto ao tempo de mão de obra: 70% para instalação do tubo e 30% para instalação do isolamento térmico.</t>
  </si>
  <si>
    <t>SF-00329</t>
  </si>
  <si>
    <t>Isolamento elastomérico em formato de tubo ou coquilha de espessura M, próprio para tubulação de cobre de diâmetro nominal 1/2". Ref.: AF/Armaflex M-12, K-Flex ST</t>
  </si>
  <si>
    <t>SF-00330</t>
  </si>
  <si>
    <t>Isolamento elastomérico em formato de tubo ou coquilha de espessura M, próprio para tubulação de cobre de diâmetro nominal 1/4". Ref.: AF/Armaflex M-06, K-Flex ST</t>
  </si>
  <si>
    <t>SF-00331</t>
  </si>
  <si>
    <t>Isolamento elastomérico em formato de tubo ou coquilha de espessura M, próprio para tubulação de cobre de diâmetro nominal 3/4". Ref.: AF/Armaflex M-18, K-Flex ST</t>
  </si>
  <si>
    <t>SF-00332</t>
  </si>
  <si>
    <t>Isolamento elastomérico em formato de tubo ou coquilha de espessura M, próprio para tubulação de cobre de diâmetro nominal 3/8". Ref.: AF/Armaflex M-10, K-Flex ST</t>
  </si>
  <si>
    <t>SF-00333</t>
  </si>
  <si>
    <t>Isolamento elastomérico em formato de tubo ou coquilha de espessura M, próprio para tubulação de cobre de diâmetro nominal 5/8". Ref.: AF/Armaflex M-15, K-Flex ST</t>
  </si>
  <si>
    <t>SF-00334</t>
  </si>
  <si>
    <t>Isolamento elastomérico em formato de tubo ou coquilha de espessura M, próprio para tubulação de cobre de diâmetro nominal 7/8" e para tubulações de ferro de diâmetro nominal 1/2". Ref.: AF/Armaflex M-22, K-Flex ST</t>
  </si>
  <si>
    <t>SF-00335</t>
  </si>
  <si>
    <t>Isolamento elastomérico em formato de tubo ou coquilha de espessura M, próprio para tubulação de cobre de diâmetro nominal 1". Ref.: AF/Armaflex M-25, K-Flex ST</t>
  </si>
  <si>
    <t>SF-00336</t>
  </si>
  <si>
    <t>Isolamento elastomérico em formato de tubo ou coquilha de espessura M, próprio para tubulação ferro de diâmetro nominal 1 1/2". Ref.: AF/Armaflex M-48, K-Flex ST</t>
  </si>
  <si>
    <t>SF-00337</t>
  </si>
  <si>
    <t>Isolamento elastomérico em formato de tubo ou coquilha de espessura M, próprio para tubulação ferro de diâmetro nominal 1 1/4". Ref.: AF/Armaflex M-42, K-Flex ST</t>
  </si>
  <si>
    <t>SF-00338</t>
  </si>
  <si>
    <t>Isolamento elastomérico em formato de tubo ou coquilha de espessura M, próprio para tubulação ferro de diâmetro nominal 1". Ref.: AF/Armaflex M-35, K-Flex ST</t>
  </si>
  <si>
    <t>SF-00339</t>
  </si>
  <si>
    <t>Alumínio corrugado sem barreira espessura mínima = 0,15mm</t>
  </si>
  <si>
    <t>SF-00340</t>
  </si>
  <si>
    <t>TUBO ACO CARBONO SEM COSTURA 1 1/2", E= *3,68 MM, SCHEDULE 40, 4,05 KG/M</t>
  </si>
  <si>
    <t>SF-00341</t>
  </si>
  <si>
    <t>SF-00342</t>
  </si>
  <si>
    <t>SF-00343</t>
  </si>
  <si>
    <t>TUBO ACO CARBONO SEM COSTURA 3/4", E= *2,87 MM, SCHEDULE 40, *1,69 KG/M</t>
  </si>
  <si>
    <t>SF-00344</t>
  </si>
  <si>
    <t>Tubo de cobre flexivel, D = 1/2 ", E = 0,79 mm, para ar-condicionado/ instalacoes gas residenciais e comerciais</t>
  </si>
  <si>
    <t>SF-00345</t>
  </si>
  <si>
    <t>Tubo de cobre flexivel, D = 1/4 ", E = 0,79 mm, para ar-condicionado/ instalacoes gas residenciais e comerciais</t>
  </si>
  <si>
    <t>SF-00346</t>
  </si>
  <si>
    <t>Tubo de cobre flexivel, D = 3/4 ", E = 0,79 mm, para ar-condicionado/ instalacoes gas residenciais e comerciais</t>
  </si>
  <si>
    <t>SF-00347</t>
  </si>
  <si>
    <t>Tubo de cobre flexivel, D = 3/8 ", E = 0,79 mm, para ar-condicionado/ instalacoes gas residenciais e comerciais</t>
  </si>
  <si>
    <t>SF-00348</t>
  </si>
  <si>
    <t>Tubo de cobre flexivel, D = 5/8 ", E = 0,79 mm, para ar-condicionado/ instalacoes gas residenciais e comerciais</t>
  </si>
  <si>
    <t>SF-00349</t>
  </si>
  <si>
    <t>Tubo de cobre flexivel, D = 7/8 ", E = 0,79 mm, para ar-condicionado/ instalacoes gas residenciais e comerciais</t>
  </si>
  <si>
    <t>SF-00350</t>
  </si>
  <si>
    <t>Tubo de cobre flexivel, D = 1 ", E = 0,79 mm, para ar-condicionado/ instalacoes gas residenciais e comerciais</t>
  </si>
  <si>
    <t>SF-00351</t>
  </si>
  <si>
    <t>Tubo de cobre flexivel, D = 1 1/8 ", E = 0,79 mm, para ar-condicionado/ instalacoes gas residenciais e comerciais</t>
  </si>
  <si>
    <t>SF-00354</t>
  </si>
  <si>
    <t>SF-00355</t>
  </si>
  <si>
    <t>Suporte mao-francesa em aco, abas iguais 40 cm, capacidade minima 70 kg, branco</t>
  </si>
  <si>
    <t>Chapa de MDF branco liso 2 faces, e = 25 mm, de *2,75 x 1,85* m</t>
  </si>
  <si>
    <t>SF-00356</t>
  </si>
  <si>
    <t>Painel de TV de 120 x 180 cm, fabricado em MDP. Ref.: Urbe Móveis Plus</t>
  </si>
  <si>
    <t>SF-00357</t>
  </si>
  <si>
    <t>Painel de TV de 160 x 160 cm, fabricado em MDP. Ref.: HB Móveis Life Canyon, HB Móveis Livin</t>
  </si>
  <si>
    <t>SF-00358</t>
  </si>
  <si>
    <t>Painel de TV de 90 x 120 cm, fabricado em MDP. Ref.: Germai Ipanema 90 x 120 x 26,5</t>
  </si>
  <si>
    <t>SF-00359</t>
  </si>
  <si>
    <t>BATENTE PARA PORTA DE MADEIRA, PADRÃO MÉDIO - FORNECIMENTO E MONTAGEM. AF_12/2019</t>
  </si>
  <si>
    <t>SF-00360</t>
  </si>
  <si>
    <t>Chapa de proteção em aço inox AISI 304, largura conforme projeto, 400 mm de altura, chapa com espessura de 1 mm, acabamento escovado fosco</t>
  </si>
  <si>
    <t>SF-00361</t>
  </si>
  <si>
    <t>DOBRADICA EM LATAO, 3 " X 2 1/2 ", E= 1,9 A 2 MM, COM ANEL, CROMADO, TAMPA BOLA, COM PARAFUSOS</t>
  </si>
  <si>
    <t>PARAFUSO ROSCA SOBERBA ZINCADO CABECA CHATA FENDA SIMPLES 3,5 X 25 MM (1 ")</t>
  </si>
  <si>
    <t>CARPINTEIRO DE ESQUADRIA COM ENCARGOS COMPLEMENTARES</t>
  </si>
  <si>
    <t>H</t>
  </si>
  <si>
    <t>SERVENTE COM ENCARGOS COMPLEMENTARES</t>
  </si>
  <si>
    <t>SF-00362</t>
  </si>
  <si>
    <t>SF-00363</t>
  </si>
  <si>
    <t>SF-00364</t>
  </si>
  <si>
    <t>SF-00365</t>
  </si>
  <si>
    <t>PORTA DE MADEIRA, FOLHA MEDIA (NBR 15930) DE 100 X 210 CM, E = 35 MM, NUCLEO SARRAFEADO, CAPA LISA EM HDF, ACABAMENTO EM LAMINADO NATURAL PARA VERNIZ</t>
  </si>
  <si>
    <t>SF-00366</t>
  </si>
  <si>
    <t>SF-00367</t>
  </si>
  <si>
    <t>PEDREIRO COM ENCARGOS COMPLEMENTARES</t>
  </si>
  <si>
    <t>SF-00368</t>
  </si>
  <si>
    <t>SF-00369</t>
  </si>
  <si>
    <t>Fechadura para porta de banheiro, com maçaneta em formato de barra, confeccionada em aço com acabamento inox polido. Ref.: MZ 270 WC Standard – Linha Standard – Papaiz</t>
  </si>
  <si>
    <t>SF-00370</t>
  </si>
  <si>
    <t>Fechadura para porta externa, com maçaneta em formato de barra, confeccionada em zamac com acabamento cromado. Ref.: MZ 270 EXT Standard – Linha Standard – Papaiz</t>
  </si>
  <si>
    <t>SF-00371</t>
  </si>
  <si>
    <t>Fechadura para porta interna, com acabamento cromado brilhante, maçaneta tipo pera, com pino giratório central. Ref.: CJ 030 (externo) – Linha Professionel – La Fonte</t>
  </si>
  <si>
    <t>SF-00372</t>
  </si>
  <si>
    <t>SF-00373</t>
  </si>
  <si>
    <t>Mola aérea para fechamento automático de portas com regulagem da velocidade de fechamento. Ref.: Mola automática – Modelo 453 - Coimbra</t>
  </si>
  <si>
    <t>SF-00374</t>
  </si>
  <si>
    <t>Pivô em latão com acabamento cromado para portas pivotantes até 150 kg. Conjunto completo composto de superior macho e fêmea e inferior macho e fêmea. Ref.: Pivô Strong 150 - La fonte</t>
  </si>
  <si>
    <t>SF-00375</t>
  </si>
  <si>
    <t>Cabo de dados tipo UTP, tipo LSZH, categoria 6. Ref.: AMP 1989106-6, Furukawa 23400196</t>
  </si>
  <si>
    <t>SF-00376</t>
  </si>
  <si>
    <t>Tampa p/ conector /RJ45. ref.: Schneider Electric PRM47761 (Padrão Keystone), Schneider Electric PRM47771 (Padrão AMP)</t>
  </si>
  <si>
    <t>Módulo RJ 45 - CAT 6. Ref.: AMP 1375055-2, Furukawa 35030621</t>
  </si>
  <si>
    <t>Certificação de ponto de rede</t>
  </si>
  <si>
    <t>SF-00377</t>
  </si>
  <si>
    <t>Painel de distribuição (patch panel) de 24 portas, categoria 6. Ref.: AMP 1375014-2</t>
  </si>
  <si>
    <t>SF-00378</t>
  </si>
  <si>
    <t>CABO TELEFONICO CCI 50, 2 PARES, USO INTERNO, SEM BLINDAGEM</t>
  </si>
  <si>
    <t>SF-00379</t>
  </si>
  <si>
    <t>Tampa p/ conector /RJ45. ref.: Schneider Electric PRM47761 (padrão Keystone), Schneider Electric PRM47771 (padrão AMP)</t>
  </si>
  <si>
    <t>Tomada RJ45, 8 fios, CAT 5E (apenas modulo)</t>
  </si>
  <si>
    <t>SF-00380</t>
  </si>
  <si>
    <t>Grelha para retorno para portas, divisórias e paredes 525x325 mm, Ref. Trox AGS-T</t>
  </si>
  <si>
    <t>SF-00408</t>
  </si>
  <si>
    <t>CJ</t>
  </si>
  <si>
    <t>SF-00467</t>
  </si>
  <si>
    <t>ESPUMA EXPANSIVA DE POLIURETANO, APLICACAO MANUAL - 500 ML</t>
  </si>
  <si>
    <t>SF-00563</t>
  </si>
  <si>
    <t>ARGAMASSA PRONTA PARA CONTRAPISO</t>
  </si>
  <si>
    <t>SF-00564</t>
  </si>
  <si>
    <t>ARGAMASSA INDUSTRIALIZADA MULTIUSO, PARA REVESTIMENTO INTERNO E EXTERNO E ASSENTAMENTO DE BLOCOS DIVERSOS</t>
  </si>
  <si>
    <t>SF-00565</t>
  </si>
  <si>
    <t>CIMENTO PORTLAND COMPOSTO CP II-32</t>
  </si>
  <si>
    <t>SF-00566</t>
  </si>
  <si>
    <t>SF-00567</t>
  </si>
  <si>
    <t>SF-00568</t>
  </si>
  <si>
    <t>AREIA MEDIA - POSTO JAZIDA/FORNECEDOR (RETIRADO NA JAZIDA, SEM TRANSPORTE)</t>
  </si>
  <si>
    <t>TRANSPORTE COM CAMINHÃO BASCULANTE DE 6 M3, EM VIA URBANA PAVIMENTADA, DMT ATÉ 30 KM (UNIDADE: TxKM). AF_01/2018</t>
  </si>
  <si>
    <t>TxKM</t>
  </si>
  <si>
    <t>Obs.: Considerando fornecedor de areia a 20 km do Senado Federal.</t>
  </si>
  <si>
    <t>SF-00569</t>
  </si>
  <si>
    <t>PEDRA BRITADA N. 0, OU PEDRISCO (4,8 A 9,5 MM) POSTO PEDREIRA/FORNECEDOR, SEM FRETE</t>
  </si>
  <si>
    <t>Obs.: Considerando fornecedor de brita a 20 km do Senado Federal.</t>
  </si>
  <si>
    <t>SF-00570</t>
  </si>
  <si>
    <t>PEDRA BRITADA N. 1 (9,5 a 19 MM) POSTO PEDREIRA/FORNECEDOR, SEM FRETE</t>
  </si>
  <si>
    <t>SF-00571</t>
  </si>
  <si>
    <t>SF-00572</t>
  </si>
  <si>
    <t>SF-00573</t>
  </si>
  <si>
    <t>SF-00574</t>
  </si>
  <si>
    <t>SF-00575</t>
  </si>
  <si>
    <t>SF-00576</t>
  </si>
  <si>
    <t>ACO CA-50, 6,3 MM, VERGALHAO</t>
  </si>
  <si>
    <t>SF-00577</t>
  </si>
  <si>
    <t>ACO CA-50, 8,0 MM, VERGALHAO</t>
  </si>
  <si>
    <t>SF-00578</t>
  </si>
  <si>
    <t>ACO CA-50, 10,0 MM, VERGALHAO</t>
  </si>
  <si>
    <t>SF-00579</t>
  </si>
  <si>
    <t>ACO CA-50, 12,5 MM OU 16,0 MM, VERGALHAO</t>
  </si>
  <si>
    <t>SF-00580</t>
  </si>
  <si>
    <t>SF-00581</t>
  </si>
  <si>
    <t>ADESIVO ESTRUTURAL A BASE DE RESINA EPOXI, BICOMPONENTE, PASTOSO (TIXOTROPICO)</t>
  </si>
  <si>
    <t>SF-00588</t>
  </si>
  <si>
    <t>ADITIVO IMPERMEABILIZANTE DE PEGA NORMAL PARA ARGAMASSAS E CONCRETOS SEM ARMACAO, LIQUIDO E ISENTO DE CLORETOS</t>
  </si>
  <si>
    <t>SF-00708</t>
  </si>
  <si>
    <t>ENGENHEIRO CIVIL DE OBRA PLENO COM ENCARGOS COMPLEMENTARES</t>
  </si>
  <si>
    <t>Obs: considerando 220h/mês e encargos sociais indicados na tabela do SINAPI.</t>
  </si>
  <si>
    <t>SF-00709</t>
  </si>
  <si>
    <t>ALMOXARIFE COM ENCARGOS COMPLEMENTARES</t>
  </si>
  <si>
    <t>SF-00710</t>
  </si>
  <si>
    <t>SF-00711</t>
  </si>
  <si>
    <t>AJUDANTE DE CARPINTEIRO COM ENCARGOS COMPLEMENTARES</t>
  </si>
  <si>
    <t>SF-00712</t>
  </si>
  <si>
    <t>AUXILIAR DE SERRALHEIRO COM ENCARGOS COMPLEMENTARES</t>
  </si>
  <si>
    <t>SF-00713</t>
  </si>
  <si>
    <t>SF-00714</t>
  </si>
  <si>
    <t>SF-00715</t>
  </si>
  <si>
    <t>SF-00716</t>
  </si>
  <si>
    <t>SF-00717</t>
  </si>
  <si>
    <t>SF-00844</t>
  </si>
  <si>
    <t>Kg</t>
  </si>
  <si>
    <t>SF-00845</t>
  </si>
  <si>
    <t>VIDRO LISO INCOLOR 5MM - SEM COLOCACAO</t>
  </si>
  <si>
    <t>SF-00846</t>
  </si>
  <si>
    <t>VIDRO TEMPERADO INCOLOR E = 8 MM, SEM COLOCACAO</t>
  </si>
  <si>
    <t>SF-00849</t>
  </si>
  <si>
    <t>VIDRO TEMPERADO INCOLOR E = 10 MM, SEM COLOCACAO</t>
  </si>
  <si>
    <t>SF-00850</t>
  </si>
  <si>
    <t>Bucha para pivô de dobradiça para vidro temperado. Ref.: Santa Marina/1201; Belga Metais / 9201</t>
  </si>
  <si>
    <t>SF-00851</t>
  </si>
  <si>
    <t>Suporte para bandeira de vidro temperado, com ponto de giro para dobradiça. Ref.: Santa Marina / 1203; Belga Metais / 9203</t>
  </si>
  <si>
    <t>SF-00852</t>
  </si>
  <si>
    <t>Suporte de canto, simples, para vidro temperado. Ref.: Santa Marina/1302; Belga Metais/9302</t>
  </si>
  <si>
    <t>SF-00853</t>
  </si>
  <si>
    <t>Suporte de união em "L" em latão fundido, sem batedor, para dois ou três vidros temperados de 10 mm. Ref.: Santa Marina/1310; Belga Metais/9310</t>
  </si>
  <si>
    <t>OBS: Para o preço unitário do insumo, considerou-se 85% do preço da peça tipo 1308 da tabela TCPO/Pini, percentual esse verificado mediante pesquisa de mercado.</t>
  </si>
  <si>
    <t>SF-00854</t>
  </si>
  <si>
    <t>Botão de correção fosco acetinado com parafuso. Ref.: Santa Marina/1002</t>
  </si>
  <si>
    <t>SF-00855</t>
  </si>
  <si>
    <t>Fechadura bico-de-papagaio, com furo, para porta de correr em vidro temperado 10 mm. Ref.: Santa Marina / 3530; Belga Metais / 9510-F</t>
  </si>
  <si>
    <t>SF-00856</t>
  </si>
  <si>
    <t>Fechadura bico-de-papagaio, com furo, para aplicação em janela de correr em vidro temperado 10 mm. Ref.: Santa Marina/3532; Belga Metais/9510-JF</t>
  </si>
  <si>
    <t>SF-00857</t>
  </si>
  <si>
    <t>Fechadura para aplicação em porta de abrirem vidro temperado 10 mm. Ref.: Santa Marina/1520; Belga Metais/9520</t>
  </si>
  <si>
    <t>SF-00858</t>
  </si>
  <si>
    <t>Contra fechadura, para alvenaria, para porta com fechadura 1520/952, aplicada em alvenaria junto a porta de abrirem vidro temperado 10 mm. Ref.: TQ Ferragens/1504; Santa Marina/1504; Belga Metais/1504</t>
  </si>
  <si>
    <t>SF-00859</t>
  </si>
  <si>
    <t>Contra fechadura de pressão para porta de vidro temperado de 10 mm, usada com fechaduras de referência 1520SE / 9520PRD / 9520PRE. Ref.: Santa Marina/1504S; Belga Metais 9504S</t>
  </si>
  <si>
    <t>SF-00860</t>
  </si>
  <si>
    <t>Contra fechadura, com furo, para porta de correr com furo em vidro temperado 10 mm, usada com fechaduras de referência 3530/9510-F. Ref.: Santa Marina/3534; Belga Metais/9511-F</t>
  </si>
  <si>
    <t>SF-00861</t>
  </si>
  <si>
    <t>Trinco inferior, com miolo, em latão fundido cromado, para porta de vidro temperado 10 mm. Ref.: Santa Marina/1502; Belga Metais/9502</t>
  </si>
  <si>
    <t>SF-00862</t>
  </si>
  <si>
    <t>Obs: considerando remoção de uma folha de 2,10 m x 0,80 m.</t>
  </si>
  <si>
    <t>SF-00863</t>
  </si>
  <si>
    <t>Puxador para porta de vidro temperado redondo duplo em resina poliéster incolor com aditivo anti-UV com 110-135 mm de diâmetro. Ref.: 1608 e 1609, Poliforma Alumínios e Ferragens; 1613, Aço Metais</t>
  </si>
  <si>
    <t>SF-00864</t>
  </si>
  <si>
    <t>Puxador para porta de vidro temperado em aço inox, sob medida, tipo A</t>
  </si>
  <si>
    <t>SF-00865</t>
  </si>
  <si>
    <t>Dobradiça superior para porta de vidro temperado, em latão fundido cromado. Ref.: Santa Marina / 1101 ou Belga Metais / 9101</t>
  </si>
  <si>
    <t>SF-00866</t>
  </si>
  <si>
    <t>PERFIL DE ALUMINIO ANODIZADO</t>
  </si>
  <si>
    <t>Obs: Perfil em alumínio anodizado, tipo U - abas iguais - PU 5/8" x 5/8" – espessura 1,58mm</t>
  </si>
  <si>
    <t>Fonte do coeficiente: http://www.estreladosmetais.com.br/pag_metal_aluminio_perfil_u_igual.php</t>
  </si>
  <si>
    <t>SF-00867</t>
  </si>
  <si>
    <t>Obs: Trilho superior em alumínio anodizado 60mm x 49,5mm, para vidro temperado. Ref.: AL-0051</t>
  </si>
  <si>
    <t>Fonte do coeficiente: http://www.ferragensdbf.com.br/produtos-aluminio.html</t>
  </si>
  <si>
    <t>SF-00868</t>
  </si>
  <si>
    <t>Obs: Perfil guia inferior de alumínio anodizado 39,3 mm x 24 mm para vidro temperado 10mm. Ref.: Perfil Guia Inferior AL-0005</t>
  </si>
  <si>
    <t>SF-00869</t>
  </si>
  <si>
    <t>SF-00870</t>
  </si>
  <si>
    <t>Obs: Perfil Guia Inferior “Click” de alumínio anodizado. Ref.: Perfil AL-0013</t>
  </si>
  <si>
    <t>SF-00871</t>
  </si>
  <si>
    <t>Dobradiça inferior para porta de vidro temperado, em latão fundido cromado. Ref.: Santa Marina / 1103; Belga Metais / 9103</t>
  </si>
  <si>
    <t>SF-00872</t>
  </si>
  <si>
    <t>Escova de vedação para aplicação em janela ou porta de vidro temperado, autocolante ou de encaixe, na cor preta, branca ou cinza alumínio, entre 5mm e 7mm de base. Ref.: 290-1 (vidromax) 5x5 preto; Seal; VBrasil; Aluinter</t>
  </si>
  <si>
    <t>SF-00873</t>
  </si>
  <si>
    <t>Roldana simples em nylon para porta ou janela de correr de vidro temperado. Ref.: Santa Marina/1125N; Belga Metais/9125</t>
  </si>
  <si>
    <t>SF-00874</t>
  </si>
  <si>
    <t>Roldana dupla em nylon para porta ou janela de correr de vidro temperado. Ref.: Santa Marina/1125N; Belga Metais/9125</t>
  </si>
  <si>
    <t>SF-00875</t>
  </si>
  <si>
    <t>Capuchinho para trinco para vidro temperado, com furo de 8 ou 10 mm, em latão fundido. Ref.: Santa Marina/1037; Santa Marina/1038; Belga Metais/9038</t>
  </si>
  <si>
    <t>SF-00876</t>
  </si>
  <si>
    <t>Facão simples para lateral e bandeira de vidro temperado 10 mm, com ponto de giro para dobradiça superior, em latão fundido cromado. Ref.: Santa Marina/1209; Belga Metais/9209</t>
  </si>
  <si>
    <t>SF-00877</t>
  </si>
  <si>
    <t>Fechadura de pressão para porta de abrir em vidro temperado 10 mm. Ref.: Belga  Metais/9520-PRD (lado direito); Santa Marina/1520SE; Belga Metais/9520-PRE (lado esquerdo)</t>
  </si>
  <si>
    <t>SF-00878</t>
  </si>
  <si>
    <t>Suporte de união, com miolo, para vidro temperado de 10 mm, em latão fundido cromado. Ref.: Santa Marina/1306; Belga Metais/9306</t>
  </si>
  <si>
    <t>SF-00879</t>
  </si>
  <si>
    <t>Suporte para basculante e pivotante de vidro temperado 10 mm, em latão fundido cromado. Ref.: Santa Marina/1230; Belga Metais/9230</t>
  </si>
  <si>
    <t>SF-00880</t>
  </si>
  <si>
    <t>Trinco central para basculante em vidro temperado 10 mm, em latão fundido cromado. Ref.: Santa Marina/1523; Belga Metais/9523</t>
  </si>
  <si>
    <t>SF-00881</t>
  </si>
  <si>
    <t>Vidro laminado incolor de 8mm de espessura</t>
  </si>
  <si>
    <t>SF-00883</t>
  </si>
  <si>
    <t>Dobradiça automática para Box de vidro temperado. Ref.: Belga Metais/9114 e Belga Metais/9115</t>
  </si>
  <si>
    <t>SF-00884</t>
  </si>
  <si>
    <t>Dobradiça horizontal, com trinco central, para janela tipo basculante de vidro temperado com 8mm ou 10mm de espessura. Ref.: Belga Metais/9123-A</t>
  </si>
  <si>
    <t>SF-00885</t>
  </si>
  <si>
    <t>Dobradiça horizontal, sem trinco, para janela tipo basculante de vidro temperado com 8mm ou 10mm de espessura. Ref.: Belga Metais/9123</t>
  </si>
  <si>
    <t>SF-00886</t>
  </si>
  <si>
    <t>Fechadura elétrica para porta de vidro temperado com 8mm ou 10mm de espessura, acabamento cromado. Ref.: Fechadura Modelo FV35ICR / FV35ECRA / FV32ICR / FV32IPR / FV32ICRA / FV32ECRA, fabricante Amelco</t>
  </si>
  <si>
    <t>SF-00887</t>
  </si>
  <si>
    <t>Porteiro eletrônico residencial. Ref.: Amelco AM-m²00</t>
  </si>
  <si>
    <t>SF-00888</t>
  </si>
  <si>
    <t>Acionador de fechadura elétrica para porta de vidro temperado com 01 acionador fixo. Ref.; Amelco AF62UP</t>
  </si>
  <si>
    <t>SF-00889</t>
  </si>
  <si>
    <t>Mini chapinha para trinco de janela basculante em vidro temperado 8 ou 10 mm, em latão fundido cromado. Ref.: Belga Metais/9801-M</t>
  </si>
  <si>
    <t>SF-00890</t>
  </si>
  <si>
    <t>Puxador de latão polido - diâmetro 25mm, para portas e janelas de vidro temperado. Ref.: Belga Metais/9629</t>
  </si>
  <si>
    <t>SF-00891</t>
  </si>
  <si>
    <t>Trinco sem miolo, para vidro temperado 8mm ou 10 mm, funcionando como suporte inferior de centro, em latão fundido cromado. Ref.: Belga Metais/9335</t>
  </si>
  <si>
    <t>SF-00892</t>
  </si>
  <si>
    <t>Obs: Tubo de alumínio quadrado 50x50, para fixação de painéis em vidro temperado de 8mm ou 10 mm</t>
  </si>
  <si>
    <t>SF-00893</t>
  </si>
  <si>
    <t>Veda fresta adesivo “E” em PVC branco, elemento vedante adesivo para portas e janelas</t>
  </si>
  <si>
    <t>SF-00894</t>
  </si>
  <si>
    <t>Obs: Vedapress 10mm, elemento vedante para portas e janelas de vidro temperado de 8mm ou 10 mm. Ref.: AL-15 - Poliformas alumínio e ferragens</t>
  </si>
  <si>
    <t>Fonte do coeficiente: http://www.alumipremium.com/produto/al15</t>
  </si>
  <si>
    <t>SF-00895</t>
  </si>
  <si>
    <t>SF-00896</t>
  </si>
  <si>
    <t>Vidro fumê/bronze temperado 10mm</t>
  </si>
  <si>
    <t>SF-00897</t>
  </si>
  <si>
    <t>Puxador para porta de vidro temperado em aço inox, sob medida, tipo B</t>
  </si>
  <si>
    <t>SF-00898</t>
  </si>
  <si>
    <t>KG</t>
  </si>
  <si>
    <t>ESPACADOR / DISTANCIADOR CIRCULAR COM ENTRADA LATERAL, EM PLASTICO, PARA VERGALHAO *4,2 A 12,5* MM, COBRIMENTO 20 MM</t>
  </si>
  <si>
    <t>AJUDANTE DE ARMADOR COM ENCARGOS COMPLEMENTARES</t>
  </si>
  <si>
    <t>ARMADOR COM ENCARGOS COMPLEMENTARES</t>
  </si>
  <si>
    <t>CORTE E DOBRA DE AÇO CA-50, DIÂMETRO DE 8,0 MM, UTILIZADO EM ESTRUTURAS DIVERSAS, EXCETO LAJES. AF_12/2015</t>
  </si>
  <si>
    <t>SF-00899</t>
  </si>
  <si>
    <t>Pivô para dobradiça inferior (montagem com a 1103- TQ) para porta em vidro temperado</t>
  </si>
  <si>
    <t>SF-00900</t>
  </si>
  <si>
    <t>Dobradiça direita inferior excêntrica para porta pivotante em vidro temperado, dimensões máximas recomendadas 1000 x 2100 mm ou 900 x 2400 mm</t>
  </si>
  <si>
    <t>SF-00901</t>
  </si>
  <si>
    <t>Dobradiça esquerda inferior excêntrica para porta pivotante em vidro temperado, dimensões máximas recomendadas 1000 x 2100 mm ou 900 x 2400 mm</t>
  </si>
  <si>
    <t>SF-00902</t>
  </si>
  <si>
    <t>Dobradiça pivotante inferior com trinco, em alumínio, para porta em vidro temperado, dimensões máximas recomendadas 900 x 2200 mm</t>
  </si>
  <si>
    <t>SF-00903</t>
  </si>
  <si>
    <t>Carrinho para porta de correr em vidro temperado até 20kg 1 roldana e 2 furos. Ref.: Vidromax 1122-S</t>
  </si>
  <si>
    <t>SF-00904</t>
  </si>
  <si>
    <t>Carrinho para porta de correr em vidro temperado até 80kg 2 roldanas e 2 furos. Ref.: Vidromax 1122</t>
  </si>
  <si>
    <t>SF-00905</t>
  </si>
  <si>
    <t>Carrinho para porta de correr em vidro temperado com roldana côncava, dimensões máximas recomendadas 600 x 1800 mm</t>
  </si>
  <si>
    <t>SF-00906</t>
  </si>
  <si>
    <t>Guia de nylon para porta de correr em vidro temperado</t>
  </si>
  <si>
    <t>SF-00907</t>
  </si>
  <si>
    <t>Puxador H tubular em aço inox AISI304, com porcas tipo castelo, comprimento 45cm, entre furos de 30cm,  diâmetro 1.1/4",  chapa #16, acabamento escovado. Ref.: PX-RD, Poliforma Alumínio e Ferragens</t>
  </si>
  <si>
    <t>SF-00908</t>
  </si>
  <si>
    <t>SF-00909</t>
  </si>
  <si>
    <t>VIDRO MARTELADO OU CANELADO, 4 MM - SEM COLOCACAO</t>
  </si>
  <si>
    <t>SF-00910</t>
  </si>
  <si>
    <t>VIDRO LISO FUME, E = 5 MM - SEM COLOCACAO</t>
  </si>
  <si>
    <t>SF-00911</t>
  </si>
  <si>
    <t>SF-00912</t>
  </si>
  <si>
    <t>PARAFUSO FRANCES M16 EM ACO GALVANIZADO, COMPRIMENTO = 45 MM, DIAMETRO = 16 MM, CABECA ABAULADA</t>
  </si>
  <si>
    <t>SF-00913</t>
  </si>
  <si>
    <t>Espelho fumê/bronze 4mm lapidado</t>
  </si>
  <si>
    <t>SF-00914</t>
  </si>
  <si>
    <t>SF-00915</t>
  </si>
  <si>
    <t>GRAUTE CIMENTICIO PARA USO GERAL</t>
  </si>
  <si>
    <t>SF-00916</t>
  </si>
  <si>
    <t>CORTE E DOBRA DE AÇO CA-50, DIÂMETRO DE 12,5 MM, UTILIZADO EM ESTRUTURAS DIVERSAS, EXCETO LAJES. AF_12/2015</t>
  </si>
  <si>
    <t>SF-00917</t>
  </si>
  <si>
    <t>CORTE E DOBRA DE AÇO CA-50, DIÂMETRO DE 20,0 MM, UTILIZADO EM ESTRUTURAS DIVERSAS, EXCETO LAJES. AF_12/2015</t>
  </si>
  <si>
    <t>SF-00918</t>
  </si>
  <si>
    <t>SF-00919</t>
  </si>
  <si>
    <t>SF-00920</t>
  </si>
  <si>
    <t>COMPACTADOR DE SOLOS DE PERCUSSÃO (SOQUETE) COM MOTOR A GASOLINA 4 TEMPOS, POTÊNCIA 4 CV - CHP DIURNO. AF_08/2015</t>
  </si>
  <si>
    <t>CHP</t>
  </si>
  <si>
    <t>COMPACTADOR DE SOLOS DE PERCUSSÃO (SOQUETE) COM MOTOR A GASOLINA 4 TEMPOS, POTÊNCIA 4 CV - CHI DIURNO. AF_08/2015</t>
  </si>
  <si>
    <t>CHI</t>
  </si>
  <si>
    <t>UMIDIFICAÇÃO DE MATERIAL PARA VALAS COM CAMINHÃO PIPA 10000L. AF_11/2016</t>
  </si>
  <si>
    <t>SF-00921</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</si>
  <si>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</si>
  <si>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</si>
  <si>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ARGILA, ARGILA VERMELHA OU ARGILA ARENOSA (RETIRADA NA JAZIDA, SEM TRANSPORTE)</t>
  </si>
  <si>
    <t>Obs.: Considerando fornecedor de argila a 20 km do Senado Federal.</t>
  </si>
  <si>
    <t>SF-00922</t>
  </si>
  <si>
    <t>TUBO DE COBRE CLASSE "E", DN = 22 MM, PARA INSTALACAO HIDRAULICA PREDIAL</t>
  </si>
  <si>
    <t>AUXILIAR DE ENCANADOR OU BOMBEIRO HIDRÁULICO COM ENCARGOS COMPLEMENTARES</t>
  </si>
  <si>
    <t>ENCANADOR OU BOMBEIRO HIDRÁULICO COM ENCARGOS COMPLEMENTARES</t>
  </si>
  <si>
    <t>SF-00923</t>
  </si>
  <si>
    <t>TUBO DE COBRE CLASSE "E", DN = 28 MM, PARA INSTALACAO HIDRAULICA PREDIAL</t>
  </si>
  <si>
    <t>SF-00924</t>
  </si>
  <si>
    <t>TUBO DE COBRE CLASSE "E", DN = 42 MM, PARA INSTALACAO HIDRAULICA PREDIAL</t>
  </si>
  <si>
    <t>SF-00925</t>
  </si>
  <si>
    <t>PARAFUSO NIQUELADO COM ACABAMENTO CROMADO PARA FIXAR PECA SANITARIA, INCLUI PORCA CEGA, ARRUELA E BUCHA DE NYLON TAMANHO S-10</t>
  </si>
  <si>
    <t>VEDACAO PVC, 100 MM, PARA SAIDA VASO SANITARIO</t>
  </si>
  <si>
    <t>BACIA SANITARIA (VASO) CONVENCIONAL PARA PCD SEM FURO FRONTAL, DE LOUCA BRANCA, SEM ASSENTO</t>
  </si>
  <si>
    <t>SF-00926</t>
  </si>
  <si>
    <t>Assento poliéster, mod.: Vogue plus, cor branca, com fixação cromada. AP.51 ref: DECA ou equivalente</t>
  </si>
  <si>
    <t>Servente Com Encargos Complementares</t>
  </si>
  <si>
    <t>SF-00927</t>
  </si>
  <si>
    <t>Registro gaveta em liga de cobre, bitola 1 1/2" mod:1502.B.112 ref: DECA ou equivalente</t>
  </si>
  <si>
    <t>SF-00928</t>
  </si>
  <si>
    <t>Cabo flexível isolado em EPR não halogenado 25 mm² 0,6 a 1 kV</t>
  </si>
  <si>
    <t>SF-00929</t>
  </si>
  <si>
    <t>Cabo flexível isolado em EPR não halogenado 35 mm² 0,6 a 1 kV</t>
  </si>
  <si>
    <t>SF-00930</t>
  </si>
  <si>
    <t>Cabo flexível isolado em EPR não halogenado 50 mm² 0,6 a 1 kV</t>
  </si>
  <si>
    <t>SF-00931</t>
  </si>
  <si>
    <t>Cabo flexível isolado em EPR não halogenado 70 mm² 0,6 a 1 kV</t>
  </si>
  <si>
    <t>SF-00932</t>
  </si>
  <si>
    <t>Cabo flexível isolado em EPR não halogenado 95 mm² 0,6 a 1 kV</t>
  </si>
  <si>
    <t>SF-00933</t>
  </si>
  <si>
    <t>Cabo flexível isolado em EPR não halogenado 120 mm² 0,6 a 1 kV</t>
  </si>
  <si>
    <t>SF-00934</t>
  </si>
  <si>
    <t>Cabo flexível isolado em EPR não halogenado 150 mm² 0,6 a 1 kV</t>
  </si>
  <si>
    <t>SF-00935</t>
  </si>
  <si>
    <t>Cabo flexível isolado em EPR não halogenado 185 mm² 0,6 a 1 kV</t>
  </si>
  <si>
    <t>SF-00936</t>
  </si>
  <si>
    <t>Cabo flexível isolado em EPR não halogenado 240 mm² 0,6 a 1 kV</t>
  </si>
  <si>
    <t>SF-00937</t>
  </si>
  <si>
    <t>MONTADOR DE ESTRUTURA METÁLICA COM ENCARGOS COMPLEMENTARES</t>
  </si>
  <si>
    <t>TRANSPORTE HORIZONTAL MANUAL, DE TUBO DE AÇO CARBONO LEVE OU MÉDIO, PRETO OU GALVANIZADO, COM DIÂMETRO MAIOR QUE 32 MM E MENOR OU IGUAL A 65 MM (UNIDADE: MXKM). AF_07/2019</t>
  </si>
  <si>
    <t>MXKM</t>
  </si>
  <si>
    <t>SF-00938</t>
  </si>
  <si>
    <t>SF-00940</t>
  </si>
  <si>
    <t>ABRACADEIRA DE NYLON PARA AMARRACAO DE CABOS, COMPRIMENTO DE 200 X *4,6* MM</t>
  </si>
  <si>
    <t>TELA FACHADEIRA EM POLIETILENO, ROLO DE 3 X 100 M (L X C), COR BRANCA, SEM LOGOMARCA - PARA PROTECAO DE OBRAS</t>
  </si>
  <si>
    <t>M2</t>
  </si>
  <si>
    <t>CARPINTEIRO DE FORMAS COM ENCARGOS COMPLEMENTARES</t>
  </si>
  <si>
    <t>Obs.: Considerou-se aproveitamento de 3x para a tela, já que trata-se de locação.</t>
  </si>
  <si>
    <t>SF-00942</t>
  </si>
  <si>
    <t>SF-00943</t>
  </si>
  <si>
    <t>Registro de gaveta em liga de cobre, bitola 1" mod: 4509.302 ref: DECA ou equivalente</t>
  </si>
  <si>
    <t>SF-00944</t>
  </si>
  <si>
    <t>Registro de pressão em liga de cobre, bitola 3/4" mod: 4416.202 ref: DECA ou equivalente</t>
  </si>
  <si>
    <t>SF-00946</t>
  </si>
  <si>
    <t>TAMPAO FOFO ARTICULADO P/ REGISTRO, CLASSE A15 CARGA MAXIMA 1,5 T, *400 X 400* MM</t>
  </si>
  <si>
    <t>ARGAMASSA TRAÇO 1:4 (EM VOLUME DE CIMENTO E AREIA GROSSA ÚMIDA) PARA CHAPISCO CONVENCIONAL, PREPARO MECÂNICO COM BETONEIRA 400 L. AF_08/2019</t>
  </si>
  <si>
    <t>SF-00947</t>
  </si>
  <si>
    <t>Arquiteto de obra pleno com encargos complementares</t>
  </si>
  <si>
    <t>SF-00948</t>
  </si>
  <si>
    <t>LOCACAO DE ANDAIME SUSPENSO OU BALANCIM MANUAL, CAPACIDADE DE CARGA TOTAL DE APROXIMADAMENTE 250 KG/M2, PLATAFORMA DE 1,50 M X 0,80 M (C X L), CABO DE 45 M</t>
  </si>
  <si>
    <t>SF-00950</t>
  </si>
  <si>
    <t>LAVADORA DE ALTA PRESSAO (LAVA-JATO) PARA AGUA FRIA, PRESSAO DE OPERACAO ENTRE 1400 E 1900 LIB/POL2, VAZAO MAXIMA ENTRE 400 E 700 L/H - CHP DIURNO. AF_04/2019</t>
  </si>
  <si>
    <t>SF-00951</t>
  </si>
  <si>
    <t>SF-00952</t>
  </si>
  <si>
    <t>SF-00953</t>
  </si>
  <si>
    <t>MANTA LIQUIDA DE BASE ASFALTICA MODIFICADA COM A ADICAO DE ELASTOMEROS DILUIDOS EM SOLVENTE ORGANICO, APLICACAO A FRIO (MEMBRANA IMPERMEABILIZANTE ASFASTICA)</t>
  </si>
  <si>
    <t>Ajudante Especializado Com Encargos Complementares</t>
  </si>
  <si>
    <t>IMPERMEABILIZADOR COM ENCARGOS COMPLEMENTARES</t>
  </si>
  <si>
    <t>SF-00954</t>
  </si>
  <si>
    <t>CAMADA SEPARADORA DE FILME DE POLIETILENO 20 A 25 MICRA</t>
  </si>
  <si>
    <t>ARGAMASSA TRAÇO 1:3 (EM VOLUME DE CIMENTO E AREIA MÉDIA ÚMIDA) PARA CONTRAPISO, PREPARO MANUAL. AF_08/2019</t>
  </si>
  <si>
    <t>SF-00955</t>
  </si>
  <si>
    <t>TELA DE ARAME GALVANIZADA, HEXAGONAL, FIO 0,56 MM (24 BWG), MALHA 1/2", H = 1 M</t>
  </si>
  <si>
    <t>SF-00956</t>
  </si>
  <si>
    <t>SF-00957</t>
  </si>
  <si>
    <t>SF-00958</t>
  </si>
  <si>
    <t>Papel kraft betumado</t>
  </si>
  <si>
    <t>SF-00959</t>
  </si>
  <si>
    <t>SF-00960</t>
  </si>
  <si>
    <t>SF-00961</t>
  </si>
  <si>
    <t>Broca com ponta de widia Ø 3/8" x 160 mm</t>
  </si>
  <si>
    <t>Furadeira de impacto elétrica - 0,65 kW, Ø mandril 5/8"</t>
  </si>
  <si>
    <t>h prod</t>
  </si>
  <si>
    <t>GRAUTE FGK=25 MPA; TRAÇO 1:0,02:1,2:1,5 (CIMENTO/ CAL/ AREIA GROSSA/ BRITA 0) - PREPARO MECÂNICO COM BETONEIRA 400 L. AF_02/2015</t>
  </si>
  <si>
    <r>
      <rPr>
        <b/>
        <sz val="10"/>
        <rFont val="Arial"/>
        <family val="2"/>
      </rPr>
      <t>Fontes:</t>
    </r>
    <r>
      <rPr>
        <sz val="10"/>
        <rFont val="Arial"/>
        <family val="2"/>
      </rPr>
      <t xml:space="preserve"> PINI 05.102.000020.SER</t>
    </r>
  </si>
  <si>
    <t>SF-00962</t>
  </si>
  <si>
    <t>Insert metálico tipo 2, conforme projeto</t>
  </si>
  <si>
    <t>SF-00964</t>
  </si>
  <si>
    <t>Mármore branco especial 20mm</t>
  </si>
  <si>
    <t>SF-00965</t>
  </si>
  <si>
    <t>PARAFUSO DE ACO TIPO CHUMBADOR PARABOLT, DIAMETRO 3/8", COMPRIMENTO 75 MM</t>
  </si>
  <si>
    <t>Insert metálico tipo 1, conforme projeto</t>
  </si>
  <si>
    <r>
      <rPr>
        <b/>
        <sz val="10"/>
        <rFont val="Arial"/>
        <family val="2"/>
      </rPr>
      <t>Fontes:</t>
    </r>
    <r>
      <rPr>
        <sz val="10"/>
        <rFont val="Arial"/>
        <family val="2"/>
      </rPr>
      <t xml:space="preserve"> ORSE 03735, PINI 05.102.000020.SER e 05.108.000450.SER</t>
    </r>
  </si>
  <si>
    <r>
      <rPr>
        <b/>
        <sz val="10"/>
        <rFont val="Arial"/>
        <family val="2"/>
      </rPr>
      <t>Observações:</t>
    </r>
    <r>
      <rPr>
        <sz val="10"/>
        <rFont val="Arial"/>
        <family val="2"/>
      </rPr>
      <t xml:space="preserve"> Considerando uma placa de 0,40 m x 0,80 m, que, conforme projeto, necessita de 2 inserts.</t>
    </r>
  </si>
  <si>
    <t>SF-00966</t>
  </si>
  <si>
    <t>Mármore branco especial 30mm</t>
  </si>
  <si>
    <t>SF-00967</t>
  </si>
  <si>
    <t>SF-00968</t>
  </si>
  <si>
    <r>
      <rPr>
        <b/>
        <sz val="10"/>
        <rFont val="Arial"/>
        <family val="2"/>
      </rPr>
      <t>Fontes:</t>
    </r>
    <r>
      <rPr>
        <sz val="10"/>
        <rFont val="Arial"/>
        <family val="2"/>
      </rPr>
      <t xml:space="preserve"> PINI 05.102.000020.SER e 05.108.000450.SER</t>
    </r>
  </si>
  <si>
    <t>SF-00970</t>
  </si>
  <si>
    <t>SF-00971</t>
  </si>
  <si>
    <t>SF-00972</t>
  </si>
  <si>
    <t>Ajudante de pintor com Encargos Complementares</t>
  </si>
  <si>
    <t>Hidrofugante à base de silano e silicone</t>
  </si>
  <si>
    <t>SF-00973</t>
  </si>
  <si>
    <t>Cantoneira em alumínio abas iguais 1" x 1/8" com pintura eletrostática branca</t>
  </si>
  <si>
    <t>SF-00974</t>
  </si>
  <si>
    <t>Granito Amarelo Capri para rodapé</t>
  </si>
  <si>
    <t>SF-00975</t>
  </si>
  <si>
    <t>Lixadeira angular manual elétrica Ø 7" 2200 W 6600 rpm</t>
  </si>
  <si>
    <t>loc/un/dia</t>
  </si>
  <si>
    <t>Ponta montada A2 haste 1/4"</t>
  </si>
  <si>
    <t>SF-00976</t>
  </si>
  <si>
    <t>SF-00977</t>
  </si>
  <si>
    <t>Primer de secagem rápida e alto poder de aderência ao concreto</t>
  </si>
  <si>
    <t>Corpo de apoio em polietileno para aplicação de mástiques em juntas</t>
  </si>
  <si>
    <t>SELANTE ELASTICO MONOCOMPONENTE A BASE DE POLIURETANO (PU) PARA JUNTAS DIVERSAS</t>
  </si>
  <si>
    <t>310ml</t>
  </si>
  <si>
    <t>SF-00978</t>
  </si>
  <si>
    <t>SF-00980</t>
  </si>
  <si>
    <t>CHUVEIRO COMUM EM PLASTICO BRANCO, COM CANO, 3 TEMPERATURAS, 5500 W (110/220 V)</t>
  </si>
  <si>
    <t>FITA VEDA ROSCA EM ROLOS DE 18 MM X 10 M (L X C)</t>
  </si>
  <si>
    <t>SF-00981</t>
  </si>
  <si>
    <t>CONCRETO MAGRO PARA LASTRO, TRAÇO 1:4,5:4,5 (CIMENTO/ AREIA MÉDIA/ BRITA 1)  - PREPARO MECÂNICO COM BETONEIRA 600 L. AF_07/2016</t>
  </si>
  <si>
    <t>SF-00982</t>
  </si>
  <si>
    <t>TELA DE ACO SOLDADA NERVURADA, CA-60, Q-196, (3,11 KG/M2), DIAMETRO DO FIO = 5,0 MM, LARGURA = 2,45 M, ESPACAMENTO DA MALHA = 10 X 10 CM</t>
  </si>
  <si>
    <t>CONCRETO FCK = 20MPA, TRAÇO 1:2,7:3 (CIMENTO/ AREIA MÉDIA/ BRITA 1)  - PREPARO MECÂNICO COM BETONEIRA 600 L. AF_07/2016</t>
  </si>
  <si>
    <t>310ML</t>
  </si>
  <si>
    <t>SF-00983</t>
  </si>
  <si>
    <t>SF-00984</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</si>
  <si>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</si>
  <si>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</si>
  <si>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SF-00986</t>
  </si>
  <si>
    <t>APARELHO PARA CORTE E SOLDA OXI-ACETILENO SOBRE RODAS, INCLUSIVE CILINDROS E MAÇARICOS - CHP DIURNO. AF_12/2015</t>
  </si>
  <si>
    <t>Soldador com encargos complementares</t>
  </si>
  <si>
    <t>SF-00987</t>
  </si>
  <si>
    <t>SF-00988</t>
  </si>
  <si>
    <t>SF-00989</t>
  </si>
  <si>
    <t>GRAMA BATATAIS EM PLACAS, SEM PLANTIO</t>
  </si>
  <si>
    <t>JARDINEIRO COM ENCARGOS COMPLEMENTARES</t>
  </si>
  <si>
    <t>CALCARIO DOLOMITICO A (POSTO PEDREIRA/FORNECEDOR, SEM FRETE)</t>
  </si>
  <si>
    <t>TERRA VEGETAL (GRANEL)</t>
  </si>
  <si>
    <t>FERTILIZANTE NPK - 10:10:10</t>
  </si>
  <si>
    <t>FERTILIZANTE ORGANICO COMPOSTO, CLASSE A</t>
  </si>
  <si>
    <t>t</t>
  </si>
  <si>
    <t>Obs.: Considerando fornecedor de calcário a 20km do Senado Federal.</t>
  </si>
  <si>
    <t>SF-00990</t>
  </si>
  <si>
    <t>TINTA ACRILICA PREMIUM PARA PISO</t>
  </si>
  <si>
    <t>PINTOR COM ENCARGOS COMPLEMENTARES</t>
  </si>
  <si>
    <t>Obs: considerando uma demão, meio-fio de 30 cm x 15 cm x 13 cm (altura, base inferior, base superior), enterrado 5 cm.</t>
  </si>
  <si>
    <t>SF-00991</t>
  </si>
  <si>
    <t>Obs.: Considerando fornecedor de areia a 20km do Senado Federal.</t>
  </si>
  <si>
    <t>SF-00992</t>
  </si>
  <si>
    <t>PEDRA BRITADA N. 2 (19 A 38 MM) POSTO PEDREIRA/FORNECEDOR, SEM FRETE</t>
  </si>
  <si>
    <t>CAMINHÃO BASCULANTE 6 M3, PESO BRUTO TOTAL 16.000 KG, CARGA ÚTIL MÁXIMA 13.071 KG, DISTÂNCIA ENTRE EIXOS 4,80 M, POTÊNCIA 230 CV INCLUSIVE CAÇAMBA METÁLICA - CHP DIURNO. AF_06/2014</t>
  </si>
  <si>
    <t>TUBO DRENO, CORRUGADO, ESPIRALADO, FLEXIVEL, PERFURADO, EM POLIETILENO DE ALTA DENSIDADE (PEAD), DN 100 MM, (4") PARA DRENAGEM - EM ROLO (NORMA DNIT 093/2006 - E.M)</t>
  </si>
  <si>
    <t>PLACA VIBRATÓRIA REVERSÍVEL COM MOTOR 4 TEMPOS A GASOLINA, FORÇA CENTRÍFUGA DE 25 KN (2500 KGF), POTÊNCIA 5,5 CV - CHP DIURNO. AF_08/2015</t>
  </si>
  <si>
    <t>Obs.: Considerando fornecedor de brita a 20km do Senado Federal.</t>
  </si>
  <si>
    <t>SF-00994</t>
  </si>
  <si>
    <t>Insert metálico tipo 3, conforme projeto</t>
  </si>
  <si>
    <t>SF-01001</t>
  </si>
  <si>
    <t>LOCACAO DE CONTAINER 2,30  X  6,00 M, ALT. 2,50 M, COM 1 SANITARIO, PARA ESCRITORIO, COMPLETO, SEM DIVISORIAS INTERNAS</t>
  </si>
  <si>
    <t>SF-01011</t>
  </si>
  <si>
    <t>MARTELETE OU ROMPEDOR PNEUMÁTICO MANUAL, 28 KG, COM SILENCIADOR - CHP DIURNO. AF_07/2016</t>
  </si>
  <si>
    <t>MARTELETE OU ROMPEDOR PNEUMÁTICO MANUAL, 28 KG, COM SILENCIADOR - CHI DIURNO. AF_07/2016</t>
  </si>
  <si>
    <t>SF-01012</t>
  </si>
  <si>
    <t>SF-01013</t>
  </si>
  <si>
    <t>Impermeabilizante Idea HP</t>
  </si>
  <si>
    <t>Obs: Rendimento informado na especificação do serviço (12 m2 para 1 L, considerando duas demãos).</t>
  </si>
  <si>
    <t>Fonte: SINAPI 73872/2</t>
  </si>
  <si>
    <t>SF-01014</t>
  </si>
  <si>
    <t>PLACA VINILICA SEMIFLEXIVEL PARA REVESTIMENTO DE PISOS E PAREDES, E = 2 MM (SEM COLOCACAO)</t>
  </si>
  <si>
    <t>POLIDORA DE PISO (POLITRIZ), PESO DE 100KG, DIÂMETRO 450 MM, MOTOR ELÉTRICO, POTÊNCIA 4 HP - CHP DIURNO. AF_09/2016</t>
  </si>
  <si>
    <t>POLIDORA DE PISO (POLITRIZ), PESO DE 100KG, DIÂMETRO 450 MM, MOTOR ELÉTRICO, POTÊNCIA 4 HP - CHI DIURNO. AF_09/2016</t>
  </si>
  <si>
    <t>SF-01029</t>
  </si>
  <si>
    <t>LOCACAO DE CONTAINER 2,30 X 6,00 M, ALT. 2,50 M,  PARA SANITARIO,  COM 4 BACIAS, 8 CHUVEIROS,1 LAVATORIO E 1 MICTORIO</t>
  </si>
  <si>
    <t>SF-01030</t>
  </si>
  <si>
    <t>LOCACAO DE CONTAINER 2,30  X  6,00 M, ALT. 2,50 M, PARA ESCRITORIO, SEM DIVISORIAS INTERNAS E SEM SANITARIO</t>
  </si>
  <si>
    <t>SF-01031</t>
  </si>
  <si>
    <t>PLACA DE OBRA (PARA CONSTRUCAO CIVIL) EM CHAPA GALVANIZADA *N. 22*, ADESIVADA, DE *2,0 X 1,125* M</t>
  </si>
  <si>
    <t>SF-01041</t>
  </si>
  <si>
    <t>TÉCNICO EM SEGURANÇA DO TRABALHO COM ENCARGOS COMPLEMENTARES</t>
  </si>
  <si>
    <t>SF-01053</t>
  </si>
  <si>
    <t>Adesivo epóxi estrutural - bisnaga de 50ml</t>
  </si>
  <si>
    <t>SF-01054</t>
  </si>
  <si>
    <t>Perfil metálico em chapa #14 dobrada</t>
  </si>
  <si>
    <t>SILICONE ACETICO USO GERAL INCOLOR 280 G</t>
  </si>
  <si>
    <t>Fonte: SIURB 08-01-70 e CDHU 403091</t>
  </si>
  <si>
    <t>SF-01059</t>
  </si>
  <si>
    <t>Granito Vermelho Brasília, com 20 mm de espessura, polido, com testeira para acabamento em meia esquadria, para bancadas</t>
  </si>
  <si>
    <t>SF-01060</t>
  </si>
  <si>
    <t>BUCHA DE NYLON SEM ABA S10, COM PARAFUSO DE 6,10 X 65 MM EM ACO ZINCADO COM ROSCA SOBERBA, CABECA CHATA E FENDA PHILLIPS</t>
  </si>
  <si>
    <t>GUARNICAO/MOLDURA DE ACABAMENTO PARA ESQUADRIA DE ALUMINIO ANODIZADO NATURAL, PARA 1 FACE</t>
  </si>
  <si>
    <t>PORTA DE ABRIR EM ALUMINIO TIPO VENEZIANA, ACABAMENTO ANODIZADO NATURAL, SEM GUARNICAO/ALIZAR/VISTA, 87 X 210 CM</t>
  </si>
  <si>
    <t>Pedreiro com encargos complementares</t>
  </si>
  <si>
    <t>SF-01061</t>
  </si>
  <si>
    <t>JANELA MAXIM AR EM ALUMINIO, 80 X 60 CM (A X L), BATENTE/REQUADRO DE 4 A 14 CM, COM VIDRO, SEM GUARNICAO/ALIZAR</t>
  </si>
  <si>
    <t>PARAFUSO DE ACO ZINCADO COM ROSCA SOBERBA, CABECA CHATA E FENDA SIMPLES, DIAMETRO 4,2 MM, COMPRIMENTO * 32 * MM</t>
  </si>
  <si>
    <t>SF-01062</t>
  </si>
  <si>
    <t>PORTA DE ENROLAR MANUAL COMPLETA, ARTICULADA RAIADA LARGA, EM ACO GALVANIZADO NATURAL, CHAPA NUMERO 24 (SEM INSTALACAO)</t>
  </si>
  <si>
    <t>SF-01063</t>
  </si>
  <si>
    <t>COTOVELO 90 GRAUS DE FERRO GALVANIZADO, COM ROSCA BSP, DE 1"</t>
  </si>
  <si>
    <t>NIPLE DE FERRO GALVANIZADO, COM ROSCA BSP, DE 1"</t>
  </si>
  <si>
    <t>PLUG OU BUJAO DE FERRO GALVANIZADO, DE 1/2"</t>
  </si>
  <si>
    <t>TE DE REDUCAO DE FERRO GALVANIZADO, COM ROSCA BSP, DE 1" X 1/2"</t>
  </si>
  <si>
    <t>UNIAO DE FERRO GALVANIZADO, COM ROSCA BSP, COM ASSENTO PLANO, DE 1"</t>
  </si>
  <si>
    <t>VALVULA DE ESFERA BRUTA EM BRONZE, BITOLA 1 " (REF 1552-B)</t>
  </si>
  <si>
    <t>VALVULA DE ESFERA BRUTA EM BRONZE, BITOLA 1/2 " (REF 1552-B)</t>
  </si>
  <si>
    <t>TUBO ACO GALVANIZADO COM COSTURA, CLASSE MEDIA, DN 1", E = 3,38 MM, PESO 2,50 KG/M (NBR 5580)</t>
  </si>
  <si>
    <t xml:space="preserve">MEDIDOR DE GÁS EM ALUMÍNIO. Ref. LAO G6 </t>
  </si>
  <si>
    <t>SF-01064</t>
  </si>
  <si>
    <t>Válvula de esfera tripartida Classe 300</t>
  </si>
  <si>
    <t>SF-01065</t>
  </si>
  <si>
    <t>CHAPA DE MADEIRA COMPENSADA RESINADA PARA FORMA DE CONCRETO, DE *2,2 X 1,1* M, E = 17 MM</t>
  </si>
  <si>
    <t>DESMOLDANTE PROTETOR PARA FORMAS DE MADEIRA, DE BASE OLEOSA EMULSIONADA EM AGUA</t>
  </si>
  <si>
    <t>PREGO DE ACO POLIDO COM CABECA 15 X 15 (1 1/4 X 13)</t>
  </si>
  <si>
    <t>VIBRADOR DE IMERSÃO, DIÂMETRO DE PONTEIRA 45MM, MOTOR ELÉTRICO TRIFÁSICO POTÊNCIA DE 2 CV - CHP DIURNO. AF_06/2015</t>
  </si>
  <si>
    <t>VIBRADOR DE IMERSÃO, DIÂMETRO DE PONTEIRA 45MM, MOTOR ELÉTRICO TRIFÁSICO POTÊNCIA DE 2 CV - CHI DIURNO. AF_06/2015</t>
  </si>
  <si>
    <t>SERRA CIRCULAR DE BANCADA COM MOTOR ELÉTRICO POTÊNCIA DE 5HP, COM COIFA PARA DISCO 10" - CHP DIURNO. AF_08/2015</t>
  </si>
  <si>
    <t>SERRA CIRCULAR DE BANCADA COM MOTOR ELÉTRICO POTÊNCIA DE 5HP, COM COIFA PARA DISCO 10" - CHI DIURNO. AF_08/2015</t>
  </si>
  <si>
    <t>ARMAÇÃO DE LAJE DE UMA ESTRUTURA CONVENCIONAL DE CONCRETO ARMADO EM UMA EDIFICAÇÃO TÉRREA OU SOBRADO UTILIZANDO AÇO CA-60 DE 4,2 MM - MONTAGEM. AF_12/2015</t>
  </si>
  <si>
    <t>CONCRETO FCK = 15MPA, TRAÇO 1:3,4:3,5 (CIMENTO/ AREIA MÉDIA/ BRITA 1)  - PREPARO MECÂNICO COM BETONEIRA 600 L. AF_07/2016</t>
  </si>
  <si>
    <t>SF-01066</t>
  </si>
  <si>
    <t>ELETRODUTO/DUTO PEAD FLEXIVEL PAREDE SIMPLES, CORRUGACAO HELICOIDAL, COR PRETA, SEM ROSCA, DE 3",  PARA CABEAMENTO SUBTERRANEO (NBR 15715)</t>
  </si>
  <si>
    <t>AUXILIAR DE ELETRICISTA COM ENCARGOS COMPLEMENTARES</t>
  </si>
  <si>
    <t>ELETRICISTA COM ENCARGOS COMPLEMENTARES</t>
  </si>
  <si>
    <t>SF-01068</t>
  </si>
  <si>
    <t>Eletroduto de aço com costura galvanização eletrolítica Ø 3"</t>
  </si>
  <si>
    <t>SF-01069</t>
  </si>
  <si>
    <t>Grelha em ferro fundido com caixilho de apoio espessura 15 mm, largura 200 mm</t>
  </si>
  <si>
    <t>SF-01070</t>
  </si>
  <si>
    <t>Granito Vermelho Brasília, com 20 mm de espessura e 150 mm de altura, para soleira e peitoril</t>
  </si>
  <si>
    <t>SF-01071</t>
  </si>
  <si>
    <t>Luminária redonda de embutir, LED, potência 19 W, temperatura de cor 3000 K, fluxo luminoso 1770 lm. Ref: OSRAM - LEDVANCE DOWNLIGHT XL WT 830</t>
  </si>
  <si>
    <t>SF-01072</t>
  </si>
  <si>
    <t>PISO TATIL ALERTA OU DIRECIONAL, DE BORRACHA, COLORIDO, 25 X 25 CM, E = 5 MM, PARA COLA</t>
  </si>
  <si>
    <t>SF-01073</t>
  </si>
  <si>
    <t>Granito Vermelho Brasília ou equivalente, com 30 mm de espessura, polido em todas as faces aparentes, para divisórias</t>
  </si>
  <si>
    <t>SF-01074</t>
  </si>
  <si>
    <t>TAMPAO FOFO ARTICULADO P/ REGISTRO, CLASSE A15 CARGA MAX 1,5 T, *200 X 200* MM</t>
  </si>
  <si>
    <t>SF-01076</t>
  </si>
  <si>
    <t>Cerâmica GAIL (Referência 1009 Placa Cerâmica Linha Gressit da Marca Gail, tamanho 240 mm x 116 mm, espessura 9 mm)</t>
  </si>
  <si>
    <t>SF-01077</t>
  </si>
  <si>
    <t>AREIA PARA ATERRO - POSTO JAZIDA/FORNECEDOR (RETIRADO NA JAZIDA, SEM TRANSPORTE)</t>
  </si>
  <si>
    <t>SF-01078</t>
  </si>
  <si>
    <t>CHAPA DE ACO GROSSA, ASTM A36, E = 3/8 " (9,53 MM) 74,69 KG/M2</t>
  </si>
  <si>
    <t>ELETRODO REVESTIDO AWS - E6013, DIAMETRO IGUAL A 2,50 MM</t>
  </si>
  <si>
    <t>PARAFUSO DE FERRO POLIDO, SEXTAVADO, COM ROSCA INTEIRA, DIAMETRO 5/16", COMPRIMENTO 3/4", COM PORCA E ARRUELA LISA LEVE</t>
  </si>
  <si>
    <t>PERFIL DE BORRACHA EPDM MACICO *12 X 15* MM PARA ESQUADRIAS</t>
  </si>
  <si>
    <t>VIDRO COMUM LAMINADO LISO INCOLOR DUPLO, ESPESSURA TOTAL 8 MM (CADA CAMADA DE 4 MM) - COLOCADO</t>
  </si>
  <si>
    <t>SERRALHEIRO COM ENCARGOS COMPLEMENTARES</t>
  </si>
  <si>
    <t>SF-01080</t>
  </si>
  <si>
    <t>Perfil "U" em aço galvanizado 25mm x 25mm, espessura 1,5mm (#16)</t>
  </si>
  <si>
    <t>SF-01082</t>
  </si>
  <si>
    <t>ALIMENTACAO - HORISTA (COLETADO CAIXA)</t>
  </si>
  <si>
    <t>SF-01083</t>
  </si>
  <si>
    <t>TRANSPORTE - HORISTA (COLETADO CAIXA)</t>
  </si>
  <si>
    <t>SF-01088</t>
  </si>
  <si>
    <t>COTOVELO DE COBRE 90 GRAUS (REF 607) SEM ANEL DE SOLDA, BOLSA X BOLSA, 35 MM</t>
  </si>
  <si>
    <t>SOLDA ESTANHO/COBRE PARA CONEXOES DE COBRE, FIO 2,5 MM, CARRETEL 500 GR (SEM CHUMBO)</t>
  </si>
  <si>
    <t>LIXA D'AGUA EM FOLHA, GRAO 100</t>
  </si>
  <si>
    <t>PASTA PARA SOLDA DE TUBOS E CONEXOES DE COBRE (EMBALAGEM COM 250 G)</t>
  </si>
  <si>
    <t>SF-01089</t>
  </si>
  <si>
    <t>COTOVELO DE COBRE 90 GRAUS (REF 607) SEM ANEL DE SOLDA, BOLSA X BOLSA, 42 MM</t>
  </si>
  <si>
    <t>SF-01090</t>
  </si>
  <si>
    <t>COTOVELO DE COBRE 90 GRAUS (REF 607) SEM ANEL DE SOLDA, BOLSA X BOLSA, 22 MM</t>
  </si>
  <si>
    <t>SF-01092</t>
  </si>
  <si>
    <t>LUVA DE COBRE (REF 600) SEM ANEL DE SOLDA, BOLSA X BOLSA, 35 MM</t>
  </si>
  <si>
    <t>SF-01093</t>
  </si>
  <si>
    <t>LUVA DE COBRE (REF 600) SEM ANEL DE SOLDA, BOLSA X BOLSA, 42 MM</t>
  </si>
  <si>
    <t>SF-01094</t>
  </si>
  <si>
    <t>LUVA DE COBRE (REF 600) SEM ANEL DE SOLDA, BOLSA X BOLSA, 22 MM</t>
  </si>
  <si>
    <t>SF-01097</t>
  </si>
  <si>
    <t>TUBO DE COBRE CLASSE "A", DN = 1 1/4 " (35 MM), PARA INSTALACOES DE MEDIA PRESSAO PARA GASES COMBUSTIVEIS E MEDICINAIS</t>
  </si>
  <si>
    <t>SF-01098</t>
  </si>
  <si>
    <t>TUBO DE COBRE CLASSE "A", DN = 1 1/2 " (42 MM), PARA INSTALACOES DE MEDIA PRESSAO PARA GASES COMBUSTIVEIS E MEDICINAIS</t>
  </si>
  <si>
    <t>SF-01101</t>
  </si>
  <si>
    <t>ELETRODUTO FLEXIVEL, EM ACO GALVANIZADO, REVESTIDO EXTERNAMENTE COM PVC PRETO, DIAMETRO EXTERNO DE 50 MM( 1 1/2"), TIPO SEALTUBO</t>
  </si>
  <si>
    <t>SF-01102</t>
  </si>
  <si>
    <t>TECNICO DE EDIFICACOES COM ENCARGOS COMPLEMENTARES</t>
  </si>
  <si>
    <t>SF-01104</t>
  </si>
  <si>
    <t>ENGENHEIRO CIVIL PLENO COM ENCARGOS COMPLEMENTARES</t>
  </si>
  <si>
    <t>SF-01105</t>
  </si>
  <si>
    <t>TAQUEADOR OU TAQUEIRO COM ENCARGOS COMPLEMENTARES</t>
  </si>
  <si>
    <t>Laminado melamínico texturizado esp. 1,3 mm</t>
  </si>
  <si>
    <t>SF-01106</t>
  </si>
  <si>
    <t>Granito Preto Absoluto, com 20 mm de espessura</t>
  </si>
  <si>
    <t>SF-01107</t>
  </si>
  <si>
    <t>Granito Arabesco, com 20 mm de espessura</t>
  </si>
  <si>
    <t>SF-01108</t>
  </si>
  <si>
    <t>PISO EM PORCELANATO RETIFICADO EXTRA, FORMATO MENOR OU IGUAL A 2025 CM2</t>
  </si>
  <si>
    <t>AZULEJISTA OU LADRILHISTA COM ENCARGOS COMPLEMENTARES</t>
  </si>
  <si>
    <t>SF-01109</t>
  </si>
  <si>
    <t>JUNTA PLASTICA DE DILATACAO PARA PISOS, COR CINZA, 17 X 3 MM (ALTURA X ESPESSURA)</t>
  </si>
  <si>
    <t>SF-01110</t>
  </si>
  <si>
    <t>Piso vinílico em manta esp. 2 mm</t>
  </si>
  <si>
    <t>SF-01111</t>
  </si>
  <si>
    <t>SELANTE MONOCOMPONENTE A BASE DE SILICONE DE BAIXO MODULO, PARA JUNTAS DE PAVIMENTACAO</t>
  </si>
  <si>
    <t>SF-01112</t>
  </si>
  <si>
    <t>Lixa grana 100 para superfície metálica</t>
  </si>
  <si>
    <t>Fonte: Pini 20.105.000010.SER e Pini 20.105.000015.SER</t>
  </si>
  <si>
    <t>SF-01113</t>
  </si>
  <si>
    <t>Raspagem, calafetagem, aplicação de synteko alto brilho em piso de madeira</t>
  </si>
  <si>
    <t>SF-01114</t>
  </si>
  <si>
    <t>TACO DE MADEIRA PARA PISO, IPE (CERNE) OU EQUIVALENTE DA REGIAO, 7 X 42 CM, E = 2 CM</t>
  </si>
  <si>
    <t>COLA BRANCA BASE PVA</t>
  </si>
  <si>
    <t>SF-01115</t>
  </si>
  <si>
    <t>SF-01116</t>
  </si>
  <si>
    <t>Piso sintético flutuante, laminado de alta resistência, superfície em overlay, substrato HDF-H, painel de fibras de madeira de alta densidade, e = 7 cm</t>
  </si>
  <si>
    <t>SF-01117</t>
  </si>
  <si>
    <t>Placa acústica perfilada, semi-rígida, de estrutura micro-celular, com dimensões de 625x625x25 mm, na cor natural (cinza claro)</t>
  </si>
  <si>
    <t>SF-01118</t>
  </si>
  <si>
    <t>Placa acústica plana, semi-rígida, de estrutura micro-celular, com dimensões de 625x625x25 mm, na cor natural (cinza claro)</t>
  </si>
  <si>
    <t>SF-01119</t>
  </si>
  <si>
    <t>ARAME GALVANIZADO 18 BWG, D = 1,24MM (0,009 KG/M)</t>
  </si>
  <si>
    <t>SISAL EM FIBRA</t>
  </si>
  <si>
    <t>CENTO</t>
  </si>
  <si>
    <t>GESSEIRO COM ENCARGOS COMPLEMENTARES</t>
  </si>
  <si>
    <t>SF-01120</t>
  </si>
  <si>
    <t>MASSA PARA TEXTURA LISA DE BASE ACRILICA, USO INTERNO E EXTERNO</t>
  </si>
  <si>
    <t>SF-01121</t>
  </si>
  <si>
    <t>TINTA ACRILICA PREMIUM, COR BRANCO FOSCO</t>
  </si>
  <si>
    <t>Obs.: Acréscimo de 15% no coeficiente da tinta para suprir a diferença de preço da tinta branca para as tintas de cores especiais.</t>
  </si>
  <si>
    <t>SF-01122</t>
  </si>
  <si>
    <t>SF-01123</t>
  </si>
  <si>
    <t>SF-01124</t>
  </si>
  <si>
    <t>PRIMER EPOXI</t>
  </si>
  <si>
    <t>GL</t>
  </si>
  <si>
    <t>SF-01125</t>
  </si>
  <si>
    <t>LIXA EM FOLHA PARA PAREDE OU MADEIRA, NUMERO 120 (COR VERMELHA)</t>
  </si>
  <si>
    <t>SOLVENTE DILUENTE A BASE DE AGUARRAS</t>
  </si>
  <si>
    <t>VERNIZ POLIURETANO BRILHANTE PARA MADEIRA, COM FILTRO SOLAR, USO INTERNO E EXTERNO</t>
  </si>
  <si>
    <t>SF-01126</t>
  </si>
  <si>
    <t>Carga inerte para tratamento antiderrapante em piso (ref.: Sikadur 512 ou 515)</t>
  </si>
  <si>
    <t>SF-01127</t>
  </si>
  <si>
    <t>PRIMER UNIVERSAL, FUNDO ANTICORROSIVO TIPO ZARCAO</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</si>
  <si>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</si>
  <si>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</si>
  <si>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LIXA EM FOLHA PARA FERRO, NUMERO 150</t>
  </si>
  <si>
    <t>SF-01128</t>
  </si>
  <si>
    <t>Compressor de ar portátil de 71 PCM - 15 kW</t>
  </si>
  <si>
    <t>Serra para corte de concreto e asfalto - 10 kW</t>
  </si>
  <si>
    <t>Cordão de polietileno expandido</t>
  </si>
  <si>
    <t>Disco diamantado - D = 350 mm</t>
  </si>
  <si>
    <t>SELANTE A BASE DE ALCATRAO E POLIURETANO PARA JUNTAS HORIZONTAIS</t>
  </si>
  <si>
    <t>SF-01129</t>
  </si>
  <si>
    <t>PO DE PEDRA (POSTO PEDREIRA/FORNECEDOR, SEM FRETE)</t>
  </si>
  <si>
    <t>BLOQUETE/PISO DE CONCRETO - MODELO BLOCO PISOGRAMA/CONCREGRAMA 2 FUROS, DIMENSOES APROX. DE 35 CM X 15 CM E ESPESSURA DE 7 CM (+/- 1 CM), COR NATURAL</t>
  </si>
  <si>
    <t>CALCETEIRO COM ENCARGOS COMPLEMENTARES</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</si>
  <si>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</si>
  <si>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</si>
  <si>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</si>
  <si>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Obs: considerando fornecedor de areia e brita a 20 km do Senado Federal</t>
  </si>
  <si>
    <t>SF-01130</t>
  </si>
  <si>
    <t>ROLO COMPACTADOR DE PNEUS, ESTATICO, PRESSAO VARIAVEL, POTENCIA 110 HP, PESO SEM/COM LASTRO 10,8/27 T, LARGURA DE ROLAGEM 2,30 M - CHI DIURNO. AF_06/2017</t>
  </si>
  <si>
    <t>ROLO COMPACTADOR DE PNEUS, ESTATICO, PRESSAO VARIAVEL, POTENCIA 110 HP, PESO SEM/COM LASTRO 10,8/27 T, LARGURA DE ROLAGEM 2,30 M - CHP DIURNO. AF_06/2017</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</si>
  <si>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</si>
  <si>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</si>
  <si>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TRATOR DE PNEUS, POTÊNCIA 85 CV, TRAÇÃO 4X4, PESO COM LASTRO DE 4.675 KG - CHI DIURNO. AF_06/2014</t>
  </si>
  <si>
    <t>TRATOR DE PNEUS, POTÊNCIA 85 CV, TRAÇÃO 4X4, PESO COM LASTRO DE 4.675 KG - CHP DIURNO. AF_06/2014</t>
  </si>
  <si>
    <t>VASSOURA MECÂNICA REBOCÁVEL COM ESCOVA CILÍNDRICA, LARGURA ÚTIL DE VARRIMENTO DE 2,44 M - CHI DIURNO. AF_06/2014</t>
  </si>
  <si>
    <t>VASSOURA MECÂNICA REBOCÁVEL COM ESCOVA CILÍNDRICA, LARGURA ÚTIL DE VARRIMENTO DE 2,44 M - CHP DIURNO. AF_06/2014</t>
  </si>
  <si>
    <t>VIBROACABADORA DE ASFALTO SOBRE ESTEIRAS, LARGURA DE PAVIMENTAÇÃO 1,90 M A 5,30 M, POTÊNCIA 105 HP CAPACIDADE 450 T/H - CHP DIURNO. AF_11/2014</t>
  </si>
  <si>
    <t>CAMINHÃO BASCULANTE 10 M3, TRUCADO, POTÊNCIA 230 CV, INCLUSIVE CAÇAMBA METÁLICA, COM DISTRIBUIDOR DE AGREGADOS ACOPLADO - CHP DIURNO. AF_02/2017</t>
  </si>
  <si>
    <t>AREIA GROSSA - POSTO JAZIDA/FORNECEDOR (RETIRADO NA JAZIDA, SEM TRANSPORTE)</t>
  </si>
  <si>
    <t>EMULSAO ASFALTICA CATIONICA RL-1C PARA USO EM PAVIMENTACAO ASFALTICA (COLETADO CAIXA NA ANP ACRESCIDO DE ICMS)</t>
  </si>
  <si>
    <t>T</t>
  </si>
  <si>
    <t>GRUPO GERADOR ESTACIONÁRIO, POTÊNCIA 150 KVA, MOTOR A DIESEL- CHP DIURNO. AF_03/2016</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</si>
  <si>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</si>
  <si>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</si>
  <si>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USINA DE ASFALTO À FRIO, CAPACIDADE DE 40 A 60 TON/HORA, ELÉTRICA POTÊNCIA 30 CV - CHP DIURNO. AF_03/2016</t>
  </si>
  <si>
    <t>TANQUE DE ASFALTO ESTACIONÁRIO COM SERPENTINA, CAPACIDADE 30.000 L - CHP DIURNO. AF_06/2014</t>
  </si>
  <si>
    <t>SF-01131</t>
  </si>
  <si>
    <t>Compactador manual de placa vibratória - 3 kW - CHP</t>
  </si>
  <si>
    <t>Compactador manual de placa vibratória - 3 kW - CHI</t>
  </si>
  <si>
    <t>Asfalto a frio ensacado</t>
  </si>
  <si>
    <t>SF-01132</t>
  </si>
  <si>
    <t>CAMINHÃO TOCO, PBT 16.000 KG, CARGA ÚTIL MÁX. 10.685 KG, DIST. ENTRE EIXOS 4,8 M, POTÊNCIA 189 CV, INCLUSIVE CARROCERIA FIXA ABERTA DE MADEIRA P/ TRANSPORTE GERAL DE CARGA SECA, DIMEN. APROX. 2,5 X 7,00 X 0,50 M - CHP DIURNO. AF_06/2014</t>
  </si>
  <si>
    <t>TINTA A BASE DE RESINA ACRILICA, PARA SINALIZACAO HORIZONTAL VIARIA (NBR 11862)</t>
  </si>
  <si>
    <t>MICROESFERAS DE VIDRO PARA SINALIZACAO HORIZONTAL VIARIA, TIPO I-B (PREMIX) - NBR 16184</t>
  </si>
  <si>
    <t>MÁQUINA DEMARCADORA DE FAIXA DE TRÁFEGO À FRIO, AUTOPROPELIDA, POTÊNCIA 38 HP - CHP DIURNO. AF_07/2016</t>
  </si>
  <si>
    <t>SF-01133</t>
  </si>
  <si>
    <t>HASTE RETA PARA GANCHO DE FERRO GALVANIZADO, COM ROSCA 1/4 " X 30 CM PARA FIXACAO DE TELHA METALICA, INCLUI PORCA E ARRUELAS DE VEDACAO</t>
  </si>
  <si>
    <t>TELHADISTA COM ENCARGOS COMPLEMENTARES</t>
  </si>
  <si>
    <t>GUINCHO ELÉTRICO DE COLUNA, CAPACIDADE 400 KG, COM MOTO FREIO, MOTOR TRIFÁSICO DE 1,25 CV - CHP DIURNO. AF_03/2016</t>
  </si>
  <si>
    <t>GUINCHO ELÉTRICO DE COLUNA, CAPACIDADE 400 KG, COM MOTO FREIO, MOTOR TRIFÁSICO DE 1,25 CV - CHI DIURNO. AF_03/2016</t>
  </si>
  <si>
    <t>SF-01134</t>
  </si>
  <si>
    <t>SF-01135</t>
  </si>
  <si>
    <t>Telha metálica trapezoidal galvanizada GR 25 com espessura de 0,43 mm, com largura de 1020 mm e comprimento de 5 metros.</t>
  </si>
  <si>
    <t>SF-01136</t>
  </si>
  <si>
    <t>SF-01137</t>
  </si>
  <si>
    <t>Conjunto de vedação elástica para furo Ø 8 mm</t>
  </si>
  <si>
    <t>Telha estrutural de fibrocimento ondulada esp. 8 mm largura útil 102 cm</t>
  </si>
  <si>
    <t>Calço plástico para fixação de telha de fibrocimento tipo modulada e onda 50</t>
  </si>
  <si>
    <t>Fixador de aba telha de fibrocimento simples modulada</t>
  </si>
  <si>
    <t>Parafuso rosca soberba galvanizado Ø 8 mm x 165 mm</t>
  </si>
  <si>
    <t>SF-01138</t>
  </si>
  <si>
    <t>Cumeeira articulada superior para telha de fibrocimento modulada ou onda 50</t>
  </si>
  <si>
    <t>SF-01139</t>
  </si>
  <si>
    <t>Cumeeira articulada inferior para telha de fibrocimento tipo modulada ou onda 50</t>
  </si>
  <si>
    <t>SF-01140</t>
  </si>
  <si>
    <t>CONJUNTO ARRUELAS DE VEDACAO 5/16" PARA TELHA FIBROCIMENTO (UMA ARRUELA METALICA E UMA ARRUELA PVC - CONICAS)</t>
  </si>
  <si>
    <t>PARAFUSO ZINCADO ROSCA SOBERBA, CABECA SEXTAVADA, 5/16 " X 250 MM, PARA FIXACAO DE TELHA EM MADEIRA</t>
  </si>
  <si>
    <t>TELHA DE FIBROCIMENTO ONDULADA E = 6 MM, DE 2,44 X 1,10 M (SEM AMIANTO)</t>
  </si>
  <si>
    <t>SF-01141</t>
  </si>
  <si>
    <t>CUMEEIRA UNIVERSAL PARA TELHA ONDULADA DE FIBROCIMENTO, E = 6 MM, ABA 210 MM, COMPRIMENTO 1100 MM (SEM AMIANTO)</t>
  </si>
  <si>
    <t>SF-01142</t>
  </si>
  <si>
    <t>CUMEEIRA SHED PARA TELHA ONDULADA DE FIBROCIMENTO, E = 6 MM, ABA 280 MM, COMPRIMENTO 1100 MM (SEM AMIANTO)</t>
  </si>
  <si>
    <t>SF-01143</t>
  </si>
  <si>
    <t>Parafuso rosca soberba galvanizado Ø 8 mm x 250 mm</t>
  </si>
  <si>
    <t>SF-01147</t>
  </si>
  <si>
    <t>FUNDO ANTICORROSIVO PARA METAIS FERROSOS (ZARCAO)</t>
  </si>
  <si>
    <t>SF-01148</t>
  </si>
  <si>
    <t>SF-01149</t>
  </si>
  <si>
    <t>Lava-jato água fria pressão 1700 psi</t>
  </si>
  <si>
    <t>loc/un/h</t>
  </si>
  <si>
    <t>Solução limpadora diluída em água</t>
  </si>
  <si>
    <t>SF-01150</t>
  </si>
  <si>
    <t>ANEL BORRACHA, DN 150 MM, PARA TUBO SERIE REFORCADA ESGOTO PREDIAL</t>
  </si>
  <si>
    <t>REDUCAO EXCENTRICA PVC, SERIE R, DN 150 X 100 MM, PARA ESGOTO PREDIAL</t>
  </si>
  <si>
    <t>PASTA LUBRIFICANTE PARA TUBOS E CONEXOES COM JUNTA ELASTICA (USO EM PVC, ACO, POLIETILENO E OUTROS) ( DE *400* G)</t>
  </si>
  <si>
    <t>ADESIVO PLASTICO PARA PVC, FRASCO COM 850 GR</t>
  </si>
  <si>
    <t>TUBO PVC, SERIE R, DN 150 MM, PARA ESGOTO OU AGUAS PLUVIAIS PREDIAL (NBR 5688)</t>
  </si>
  <si>
    <t>SOLUCAO LIMPADORA PARA PVC, FRASCO COM 1000 CM3</t>
  </si>
  <si>
    <t>RALO FOFO SEMIESFERICO, 150 MM, PARA LAJES/ CALHAS</t>
  </si>
  <si>
    <t>SF-01151</t>
  </si>
  <si>
    <t>SF-01152</t>
  </si>
  <si>
    <t>ADITIVO ADESIVO LIQUIDO PARA ARGAMASSAS DE REVESTIMENTOS CIMENTICIOS</t>
  </si>
  <si>
    <t>ARGAMASSA TRAÇO 1:4 (EM VOLUME DE CIMENTO E AREIA MÉDIA ÚMIDA) PARA CONTRAPISO, PREPARO MECÂNICO COM BETONEIRA 400 L. AF_08/2019</t>
  </si>
  <si>
    <t>SF-01153</t>
  </si>
  <si>
    <t>SF-01154</t>
  </si>
  <si>
    <t>GEOTEXTIL NAO TECIDO AGULHADO DE FILAMENTOS CONTINUOS 100% POLIESTER, RESITENCIA A TRACAO = 10 KN/M</t>
  </si>
  <si>
    <t>SF-01155</t>
  </si>
  <si>
    <t>POLIESTIRENO EXPANDIDO/EPS (ISOPOR), TIPO 2F, PLACA, ISOLAMENTO TERMOACUSTICO, E = 20 MM, 1000 X 500 MM</t>
  </si>
  <si>
    <t>SF-01156</t>
  </si>
  <si>
    <t>SF-01157</t>
  </si>
  <si>
    <t>SF-01158</t>
  </si>
  <si>
    <t>Pintura inibidora de raízes</t>
  </si>
  <si>
    <t>SF-01159</t>
  </si>
  <si>
    <t>Geocomposto Drenante industrializado formado por estrutura drenante de pelo menos 10 mm</t>
  </si>
  <si>
    <t>SF-01160</t>
  </si>
  <si>
    <t>PREGO DE ACO POLIDO COM CABECA 18 X 27 (2 1/2 X 10)</t>
  </si>
  <si>
    <t>REBITE DE ALUMINIO VAZADO DE REPUXO, 3,2 X 8 MM (1KG = 1025 UNIDADES)</t>
  </si>
  <si>
    <t>SOLDA EM BARRA DE ESTANHO-CHUMBO 50/50</t>
  </si>
  <si>
    <t>CALHA QUADRADA DE CHAPA DE ACO GALVANIZADA NUM 24, CORTE 100 CM</t>
  </si>
  <si>
    <t>SF-01161</t>
  </si>
  <si>
    <t>RUFO INTERNO/EXTERNO DE CHAPA DE ACO GALVANIZADA NUM 24, CORTE 25 CM</t>
  </si>
  <si>
    <t>SF-01163</t>
  </si>
  <si>
    <t>ACO CA-50, 10,0 MM, OU 12,5 MM, OU 16,0 MM, OU 20,0 MM, DOBRADO E CORTADO</t>
  </si>
  <si>
    <t>Chapa de madeira compensada resinada 1,10 x 2,20 m # 10 mm</t>
  </si>
  <si>
    <t>BETONEIRA CAPACIDADE NOMINAL DE 600 L, CAPACIDADE DE MISTURA 360 L, MOTOR ELÉTRICO TRIFÁSICO POTÊNCIA DE 4 CV, SEM CARREGADOR - CHP DIURNO. AF_11/2014</t>
  </si>
  <si>
    <t>PREGO DE ACO POLIDO COM CABECA 17 X 21 (2 X 11)</t>
  </si>
  <si>
    <t>SF-01164</t>
  </si>
  <si>
    <t>TELA DE ACO SOLDADA NERVURADA, CA-60, Q-92, (1,48 KG/M2), DIAMETRO DO FIO = 4,2 MM, LARGURA = 2,45 X 60 M DE COMPRIMENTO, ESPACAMENTO DA MALHA = 15  X 15 CM</t>
  </si>
  <si>
    <t>SF-01165</t>
  </si>
  <si>
    <t>PARAFUSO, COMUM, ASTM A307, SEXTAVADO, DIAMETRO 1/2" (12,7 MM), COMPRIMENTO 1" (25,4 MM)</t>
  </si>
  <si>
    <t>PERFIL "U" ENRIJECIDO DE ACO GALVANIZADO, DOBRADO, 150 X 60 X 20 MM, E = 3,00 MM OU 200 X 75 X 25 MM, E = 3,75 MM</t>
  </si>
  <si>
    <t>SF-01166</t>
  </si>
  <si>
    <t>Obs: considerando rendimento informado na especificação técnica do produto indicado como referência comercial (Lata de 3,6L rende até 3 demãos, com 25 m²/demão).</t>
  </si>
  <si>
    <t>SF-01167</t>
  </si>
  <si>
    <t>Tinta aluminizada de base asfáltica</t>
  </si>
  <si>
    <t>SF-01168</t>
  </si>
  <si>
    <t>POLIESTIRENO EXPANDIDO/EPS (ISOPOR), PEROLAS, PARA CONCRETO LEVE</t>
  </si>
  <si>
    <t>Obs: considerando fornecedor de areia a 20 km do Senado Federal</t>
  </si>
  <si>
    <t>SF-01169</t>
  </si>
  <si>
    <t>PRIMER PARA MANTA ASFALTICA A BASE DE ASFALTO MODIFICADO DILUIDO EM SOLVENTE, APLICACAO A FRIO</t>
  </si>
  <si>
    <t>AJUDANTE ESPECIALIZADO COM ENCARGOS COMPLEMENTARES</t>
  </si>
  <si>
    <t>Obs: Adotou-se o consumo de 350 mL/m², conforme recomendação do fabricante do produto para aplicação homogênea.</t>
  </si>
  <si>
    <t>http://vedacit.com.br/produtos/primer-eco-vedacit</t>
  </si>
  <si>
    <t>SF-01170</t>
  </si>
  <si>
    <t>MEMBRANA IMPERMEABILIZANTE A BASE DE POLIURETANO</t>
  </si>
  <si>
    <t>SF-01171</t>
  </si>
  <si>
    <t>MANTA ASFALTICA ELASTOMERICA EM POLIESTER 4 MM, TIPO III, CLASSE B, ACABAMENTO PP (NBR 9952)</t>
  </si>
  <si>
    <t>GAS DE COZINHA - GLP</t>
  </si>
  <si>
    <t>SF-01172</t>
  </si>
  <si>
    <t>Manta asfáltica aluminizada</t>
  </si>
  <si>
    <t>SF-01173</t>
  </si>
  <si>
    <t>Emulsão hidro-asfáltica</t>
  </si>
  <si>
    <t>Tinta betuminosa</t>
  </si>
  <si>
    <t>Manta butílica # 0,8 mm</t>
  </si>
  <si>
    <t>Fita de caldeação para manta butilíca largura 50 mm # 3 mm</t>
  </si>
  <si>
    <t>Adesivo auto vulcanizante para manta butilíca</t>
  </si>
  <si>
    <t>SF-01174</t>
  </si>
  <si>
    <t>MEMBRANA IMPERMEABILIZANTE ACRILICA MONOCOMPONENTE</t>
  </si>
  <si>
    <t>SF-01175</t>
  </si>
  <si>
    <t>Asfalto elastomérico</t>
  </si>
  <si>
    <t>*Adotou-se o consumo de 2 kg/m², valor intermediário da recomendação do fabricante do produto.</t>
  </si>
  <si>
    <t>http://www.denverimper.com.br/files/produtos/0000001-0000500/122/e5fe48d2b8810574e94921c5fb6cea0c.pdf</t>
  </si>
  <si>
    <t>SF-01176</t>
  </si>
  <si>
    <t>MANTA ASFALTICA ELASTOMERICA EM POLIESTER 3 MM, TIPO III, CLASSE B, ACABAMENTO PP (NBR 9952)</t>
  </si>
  <si>
    <t>SF-01177</t>
  </si>
  <si>
    <t>SF-01179</t>
  </si>
  <si>
    <t>ADITIVO LIQUIDO INCORPORADOR DE AR PARA CONCRETO E ARGAMASSA, LIQUIDO E ISENTO DE CLORETOS</t>
  </si>
  <si>
    <t>Obs: considerando 1,01 L/kg, conforme especificado na ficha técnica do produto indicado como referência comercial.</t>
  </si>
  <si>
    <t>SF-01180</t>
  </si>
  <si>
    <t>Obs: considerando fornecedor de brita a 20 km do Senado Federal</t>
  </si>
  <si>
    <t>SF-01232</t>
  </si>
  <si>
    <t>Cola de contato a base d'água</t>
  </si>
  <si>
    <t>Adjuvante para argamassa base PVA</t>
  </si>
  <si>
    <t>Carpete aveludado azul royal, para uso comercial, adequado para tráfego pesado, conforme especificações técnicas.</t>
  </si>
  <si>
    <t>SF-01233</t>
  </si>
  <si>
    <t>COMPOSIÇÕES DE CUSTO UNITÁRIO AUXILIARES DE 1º NÍVEL</t>
  </si>
  <si>
    <t>TOTAL</t>
  </si>
  <si>
    <t>Servente com encargos complementares</t>
  </si>
  <si>
    <t>Encanador ou bombeiro hidráulico com encargos complementares</t>
  </si>
  <si>
    <t>Abracadeira em aco para amarracao de eletrodutos, tipo D, com 1/2" e parafuso de fixacao</t>
  </si>
  <si>
    <t>Chapa de madeira compensada resinada para forma de concreto, de *2,2 x 1,1* m, e = 17 mm</t>
  </si>
  <si>
    <t>Prego de aco polido com cabeca 17 x 21 (2 x 11)</t>
  </si>
  <si>
    <t>Serra circular de bancada com motor elétrico potência de 5HP, com coifa para disco 10" - CHP diurno. af_08/2015</t>
  </si>
  <si>
    <t>Serra circular de bancada com motor elétrico potência de 5HP, com coifa para disco 10" - CHI diurno. af_08/2015</t>
  </si>
  <si>
    <t>Cal hidratada CH-I para argamassas</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</si>
  <si>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</si>
  <si>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</si>
  <si>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Areia grossa - posto jazida/fornecedor (retirado na jazida, sem transporte)</t>
  </si>
  <si>
    <t>Argamassa industrializada para chapisco colante</t>
  </si>
  <si>
    <t>Misturador de argamassa, eixo horizontal, capacidade de mistura 300 kg, motor elétrico potência 5 cv - CHP diurno. af_06/2014</t>
  </si>
  <si>
    <t>Misturador de argamassa, eixo horizontal, capacidade de mistura 300 kg, motor elétrico potência 5 cv - CHI diurno. af_06/2014</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</si>
  <si>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</si>
  <si>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</si>
  <si>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</si>
  <si>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</si>
  <si>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</si>
  <si>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Fixação de tubos verticais de PPR diâmetros maiores que 40 mm e menores ou iguais a 75 mm com abraçadeira metálica rígida tipo D 2", fixada em perfilado em alvenaria. af_05/2015</t>
  </si>
  <si>
    <t>Abracadeira em aco para amarracao de eletrodutos, tipo D, com 2" e parafuso de fixacao</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</si>
  <si>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</si>
  <si>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</si>
  <si>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ACO CA-50, 20,0 MM OU 25,0 MM, VERGALHAO</t>
  </si>
  <si>
    <t>Vibrador de imersão, diâmetro de ponteira 45mm, motor elétrico trifásico potência de 2 CV - CHP diurno. AF_06/2015</t>
  </si>
  <si>
    <t>Vibrador de imersão, diâmetro de ponteira 45mm, motor elétrico trifásico potência de 2 CV - CHI diurno. AF_06/2015</t>
  </si>
  <si>
    <t>TXKM</t>
  </si>
  <si>
    <t>OPERADOR DE BETONEIRA ESTACIONÁRIA/MISTURADOR COM ENCARGOS COMPLEMENTARES</t>
  </si>
  <si>
    <t>BETONEIRA CAPACIDADE NOMINAL DE 600 L, CAPACIDADE DE MISTURA 360 L, MOTOR ELÉTRICO TRIFÁSICO POTÊNCIA DE 4 CV, SEM CARREGADOR - CHI DIURNO. AF_11/2014</t>
  </si>
  <si>
    <t>CAL HIDRATADA CH-I PARA ARGAMASSAS</t>
  </si>
  <si>
    <t>BATENTE/ PORTAL/ ADUELA/ MARCO MACICO, E= *3 CM, L= *13 CM, *60 CM A 120* CM X *210 CM,  EM CEDRINHO/ ANGELIM COMERCIAL/ EUCALIPTO/ CURUPIXA/ PEROBA/ CUMARU OU EQUIVALENTE DA REGIAO (NAO INCLUI ALIZARES)</t>
  </si>
  <si>
    <t>JG</t>
  </si>
  <si>
    <t>PREGO DE ACO POLIDO COM CABECA 12 X 12</t>
  </si>
  <si>
    <t>CORTE E DOBRA DE AÇO CA-60, DIÂMETRO DE 4,2 MM, UTILIZADO EM LAJE. AF_12/2015</t>
  </si>
  <si>
    <t>Contrapiso em argamassa traço 1:4 (cimento e areia), preparo mecânico com betoneira 400 l, aplicado em áreas secas sobre laje, aderido, espessura 3cm. AF_06/2014</t>
  </si>
  <si>
    <t>Fixação de tubos verticais de PPR diâmetros maiores que 40 mm e menores ou iguais a 75 mm com abraçadeira metálica rígida tipo D 1 1/2", fixada em perfilado em alvenaria. af_05/2015</t>
  </si>
  <si>
    <t>Abracadeira em aco para amarracao de eletrodutos, tipo D, com 1 1/2" e parafuso de fixacao</t>
  </si>
  <si>
    <t>CONCRETO MAGRO PARA LASTRO, TRAÇO 1:4,5:4,5 (CIMENTO/ AREIA MÉDIA/ BRITA 1)  - PREPARO MECÂNICO COM BETONEIRA 400 L. AF_07/2016</t>
  </si>
  <si>
    <t>ARGAMASSA TRAÇO 1:0,5:4,5 (EM VOLUME DE CIMENTO, CAL E AREIA MÉDIA ÚMIDA) PARA ASSENTAMENTO DE ALVENARIA, PREPARO MANUAL. AF_08/2019</t>
  </si>
  <si>
    <t>ACO CA-60, 4,2 MM, OU 5,0 MM, OU 6,0 MM, OU 7,0 MM, VERGALHAO</t>
  </si>
  <si>
    <t>COMPOSIÇÕES DE CUSTO UNITÁRIO AUXILIARES DE 2º NÍVEL</t>
  </si>
  <si>
    <t>PLANILHA ORÇAMENTÁRIA</t>
  </si>
  <si>
    <t>QUANTIDADE</t>
  </si>
  <si>
    <t>CUSTO DIRETO</t>
  </si>
  <si>
    <t>BDI (%)</t>
  </si>
  <si>
    <t>PREÇO UNITÁRIO COM BDI</t>
  </si>
  <si>
    <t>Engenheiro(a) /Arquiteto(a) júnior</t>
  </si>
  <si>
    <t>hh</t>
  </si>
  <si>
    <t>Mestre de obras</t>
  </si>
  <si>
    <t>Planejamento físico-financeiro</t>
  </si>
  <si>
    <t>Projetos de segurança do trabalho</t>
  </si>
  <si>
    <t>Demolição de alvenarias</t>
  </si>
  <si>
    <t>Demolição de concreto simples</t>
  </si>
  <si>
    <t>Demolição de contrapiso</t>
  </si>
  <si>
    <t>Demolição de fechamento ou parede em gesso acartonado</t>
  </si>
  <si>
    <t>Demolição de forro de gesso</t>
  </si>
  <si>
    <t>Demolição de infraestrutura elétrica (eletrodutos, eletrocalhas, cabos)</t>
  </si>
  <si>
    <t>Demolição de revestimento cerâmico, granito, mármore ou granitina</t>
  </si>
  <si>
    <t>Demolição de revestimento em argamassa</t>
  </si>
  <si>
    <t>Demolição de tubulação hidrossanitária embutida com conexões e acessórios</t>
  </si>
  <si>
    <t>Demolição em concreto armado</t>
  </si>
  <si>
    <t>SF-00015</t>
  </si>
  <si>
    <t>Locação de caçambas</t>
  </si>
  <si>
    <t>Remoção de armários</t>
  </si>
  <si>
    <t>Remoção de bancadas</t>
  </si>
  <si>
    <t>Remoção de batentes de madeira</t>
  </si>
  <si>
    <t>Remoção de canaleta em alumínio</t>
  </si>
  <si>
    <t>Remoção de carpete</t>
  </si>
  <si>
    <t>Remoção de cortinas</t>
  </si>
  <si>
    <t>Remoção de difusores, grelhas e acessórios de climatização</t>
  </si>
  <si>
    <t>Remoção de divisória de mármore ou granito</t>
  </si>
  <si>
    <t>Remoção de divisórias de MDF e gesso acartonado</t>
  </si>
  <si>
    <t>Remoção de dutos/tubulações</t>
  </si>
  <si>
    <t>Remoção de esquadrias metálicas</t>
  </si>
  <si>
    <t>Remoção de exaustor</t>
  </si>
  <si>
    <t>Remoção de fechadura/puxador de porta</t>
  </si>
  <si>
    <t>Remoção de folha de porta e dobradiças</t>
  </si>
  <si>
    <t>Remoção de laminado melamínico (LDAP), em PVC ou vinílico</t>
  </si>
  <si>
    <t>Remoção de louças</t>
  </si>
  <si>
    <t>Remoção de luminária</t>
  </si>
  <si>
    <t>Remoção de metais e acessórios</t>
  </si>
  <si>
    <t>Remoção de painéis de vidro temperado</t>
  </si>
  <si>
    <t>Remoção de película</t>
  </si>
  <si>
    <t>Remoção de persianas</t>
  </si>
  <si>
    <t>Remoção de pintura ou textura</t>
  </si>
  <si>
    <t>Remoção de placas de forro</t>
  </si>
  <si>
    <t>Remoção de quadros de elétricos ou de telecomunicações</t>
  </si>
  <si>
    <t>Remoção de revestimento acústico</t>
  </si>
  <si>
    <t>Remoção de rodapé/rodabanca de mármore ou granito</t>
  </si>
  <si>
    <t>Remoção de rodapés de madeira</t>
  </si>
  <si>
    <t>Remoção de soleira de mármore ou granito</t>
  </si>
  <si>
    <t>Remoção de split/fancolete/ACJ (equipamento unitário)</t>
  </si>
  <si>
    <t>Remoção de vidro comum / espelho</t>
  </si>
  <si>
    <t>Retirada de entulhos</t>
  </si>
  <si>
    <t>SF-00047</t>
  </si>
  <si>
    <t>Absorvedor de energia para linha de vida</t>
  </si>
  <si>
    <t>Andaime fachadeiro</t>
  </si>
  <si>
    <t>m2 x mês</t>
  </si>
  <si>
    <t>Andaime tubular (aluguel/mês)</t>
  </si>
  <si>
    <t>m x mês</t>
  </si>
  <si>
    <t>SF-00050</t>
  </si>
  <si>
    <t>Cabo de aço com 8 mm de diâmetro galvanizado para linha de vida</t>
  </si>
  <si>
    <t>Corda de poliamida 12 mm tipo bombeiro, para trabalho em altura</t>
  </si>
  <si>
    <t>SF-00052</t>
  </si>
  <si>
    <t>Ensaio de ponto de ancoragem existente</t>
  </si>
  <si>
    <t>SF-00053</t>
  </si>
  <si>
    <t>Escadas de acesso para andaime tubular</t>
  </si>
  <si>
    <t>SF-00054</t>
  </si>
  <si>
    <t>Esticador de cabo de aço</t>
  </si>
  <si>
    <t>SF-00055</t>
  </si>
  <si>
    <t>Guarda-corpo com rodapé para andaime tubular</t>
  </si>
  <si>
    <t>SF-00056</t>
  </si>
  <si>
    <t>Indicador de tensão</t>
  </si>
  <si>
    <t>Isolamento de obra com tela plástica com malha de 5mm e estrutura de madeira pontaleteada</t>
  </si>
  <si>
    <t>SF-00058</t>
  </si>
  <si>
    <t>Suporte intermediário curvo para linha de vida</t>
  </si>
  <si>
    <t>SF-00059</t>
  </si>
  <si>
    <t>Kit de linha de vida para escada de marinheiro</t>
  </si>
  <si>
    <t>SF-00060</t>
  </si>
  <si>
    <t>Kit para montagem de dois olhais</t>
  </si>
  <si>
    <t>SF-00061</t>
  </si>
  <si>
    <t>Manilha com travamento por porca e cupilha</t>
  </si>
  <si>
    <t>SF-00062</t>
  </si>
  <si>
    <t>Pilar de ancoragem para linha de vida</t>
  </si>
  <si>
    <t>SF-00063</t>
  </si>
  <si>
    <t>Piso metálico para andaime tubular</t>
  </si>
  <si>
    <t>SF-00064</t>
  </si>
  <si>
    <t>Placa de ancoragem para extremidade</t>
  </si>
  <si>
    <t>SF-00065</t>
  </si>
  <si>
    <t>Placa de ancoragem para montagem no pilar</t>
  </si>
  <si>
    <t>SF-00066</t>
  </si>
  <si>
    <t>Ponto de ancoragem</t>
  </si>
  <si>
    <t>SF-00067</t>
  </si>
  <si>
    <t>Sapatas e rodízios para andaime tubular</t>
  </si>
  <si>
    <t>conj x mês</t>
  </si>
  <si>
    <t>SF-00068</t>
  </si>
  <si>
    <t>Sistema Guarda-corpo-Rodapé (GcR) metálico</t>
  </si>
  <si>
    <t>SF-00069</t>
  </si>
  <si>
    <t>Suporte intermediário para linha de vida</t>
  </si>
  <si>
    <t>Tapume</t>
  </si>
  <si>
    <t>SF-00071</t>
  </si>
  <si>
    <t>Trole para linha de vida horizontal</t>
  </si>
  <si>
    <t>SF-00072</t>
  </si>
  <si>
    <t>Trole para travaqueda retrátil</t>
  </si>
  <si>
    <t>Limpeza final de obra</t>
  </si>
  <si>
    <t>Abertura/fechamento rasgo em alvenaria</t>
  </si>
  <si>
    <t>Furo em concreto de até 75mm de diâmetro</t>
  </si>
  <si>
    <t>Furo em concreto para diâmetros maiores que 75mm</t>
  </si>
  <si>
    <t>Concreto virado em betoneira, fck = 15 MPa</t>
  </si>
  <si>
    <t>Concreto virado em betoneira, fck = 25MPa</t>
  </si>
  <si>
    <t>Escoramento metálico</t>
  </si>
  <si>
    <t>Estrutura metálica em aço</t>
  </si>
  <si>
    <t>Forma para estruturas de concreto</t>
  </si>
  <si>
    <t>Verga/contraverga/cinta em bloco de concreto canaleta 11,5 x 19 x 39 cm</t>
  </si>
  <si>
    <t>Impermeabilização de superfície com revestimento bicomponente semi flexível</t>
  </si>
  <si>
    <t>Alvenaria de vedação</t>
  </si>
  <si>
    <t>Fechamento ou shaft em gesso acartonado tipo drywall</t>
  </si>
  <si>
    <t>Fixação (encunhamento) de Alvenaria de Vedação</t>
  </si>
  <si>
    <t>Parede em gesso acartonado (drywall)</t>
  </si>
  <si>
    <t>Reparos superficiais em painéis de gesso acartonado</t>
  </si>
  <si>
    <t>Sóculo h=10 cm</t>
  </si>
  <si>
    <t>Chapisco colante industrializado em vigas e pilares</t>
  </si>
  <si>
    <t>Chapisco com argamassa traço 1:3</t>
  </si>
  <si>
    <t>Reboco com argamassa industrializada e=2,0 cm</t>
  </si>
  <si>
    <t>Regularização com argamassa industrializada e=0,5 cm</t>
  </si>
  <si>
    <t>Tratamento de trincas superficiais</t>
  </si>
  <si>
    <t>Aplicação de fundo selador base água</t>
  </si>
  <si>
    <t>Fundo anticorrosivo e de aderência (base água)</t>
  </si>
  <si>
    <t>Massa acrílica</t>
  </si>
  <si>
    <t>Massa corrida</t>
  </si>
  <si>
    <t>Pintura com tinta látex acrílica Premium (paredes)</t>
  </si>
  <si>
    <t>Pintura em verniz sintético</t>
  </si>
  <si>
    <t>Pintura esmalte acetinado (metais e madeiras)</t>
  </si>
  <si>
    <t>Pintura tinta látex acrílica standard (tetos)</t>
  </si>
  <si>
    <t>Cerâmica para revestimento de superfícies internas ou externas – Linha Administrativa</t>
  </si>
  <si>
    <t>Contrapiso em argamassa</t>
  </si>
  <si>
    <t>Contrapiso em argamassa (e=2cm) ou Regularização de contrapiso existente</t>
  </si>
  <si>
    <t>Granito cinza andorinha para piso</t>
  </si>
  <si>
    <t>Granito Cinza Andorinha para rodapé</t>
  </si>
  <si>
    <t>Granito Cinza Andorinha para soleira e peitoril</t>
  </si>
  <si>
    <t>Granito Preto São Gabriel para piso</t>
  </si>
  <si>
    <t>Granito Preto São Gabriel para rodapé</t>
  </si>
  <si>
    <t>Granito Preto São Gabriel para soleira e peitoril</t>
  </si>
  <si>
    <t>Instalação de rodapé de madeira reaproveitado</t>
  </si>
  <si>
    <t>Mármore Bege Bahia para piso e parede</t>
  </si>
  <si>
    <t>Mármore Branco Especial para piso e parede</t>
  </si>
  <si>
    <t>Rodapé de madeira</t>
  </si>
  <si>
    <t>Acabamento abaulado em placas de granito ou mármore reaproveitadas</t>
  </si>
  <si>
    <t>Acabamento em meia esquadria em placas de granito ou mármore reaproveitadas</t>
  </si>
  <si>
    <t>Acabamento reto em placas de granito ou mármore reaproveitadas</t>
  </si>
  <si>
    <t>Corte de peça de granito ou mármore reaproveitada</t>
  </si>
  <si>
    <t>Corte em placas de granito ou mármore reaproveitadas, para instalação de cubas</t>
  </si>
  <si>
    <t>Furo em placas de granito ou mármore reaproveitadas, para instalação de torneira ou misturador</t>
  </si>
  <si>
    <t>Granito Cinza Andorinha 20mm para rodabancada</t>
  </si>
  <si>
    <t>Granito Cinza Andorinha 20mm para bancadas</t>
  </si>
  <si>
    <t>Granito Cinza Andorinha 20mm para divisória</t>
  </si>
  <si>
    <t>Granito Preto São Gabriel 20mm para rodabancada</t>
  </si>
  <si>
    <t>Granito Preto São Gabriel 20mm para bancadas</t>
  </si>
  <si>
    <t>Instalação de bancada de granito ou mármore reaproveitada</t>
  </si>
  <si>
    <t>Instalação de rodapé reaproveitado, de mármore ou granito</t>
  </si>
  <si>
    <t>Instalação de soleira ou peitoril, de mármore ou granito, reaproveitados</t>
  </si>
  <si>
    <t>Mármore Branco Especial 20mm para rodabancada</t>
  </si>
  <si>
    <t>SF-00132</t>
  </si>
  <si>
    <t>Divisória em gesso acartonado revestido - Painel liso cego - Ed. Anexo I</t>
  </si>
  <si>
    <t>SF-00133</t>
  </si>
  <si>
    <t>Divisória em gesso acartonado revestido - Painel liso, painel de vidro e bandeira – ed. Anexo I</t>
  </si>
  <si>
    <t>SF-00134</t>
  </si>
  <si>
    <t>Divisória MDF com painel liso cego e bandeira</t>
  </si>
  <si>
    <t>SF-00135</t>
  </si>
  <si>
    <t>Divisória MDF com painel liso, painel de vidro e bandeira</t>
  </si>
  <si>
    <t>SF-00136</t>
  </si>
  <si>
    <t>Divisória MDF com painel paginado cego e bandeira - Interlegis</t>
  </si>
  <si>
    <t>SF-00137</t>
  </si>
  <si>
    <t>Divisória MDF com painel paginado, painel de vidro e bandeira - Interlegis</t>
  </si>
  <si>
    <t>Instalação de divisória e porta de divisória com dobradiça reaproveitadas</t>
  </si>
  <si>
    <t>Alçapão em forro de gesso acartonado</t>
  </si>
  <si>
    <t>Forro de PVC em réguas de 100 x 6000mm</t>
  </si>
  <si>
    <t>Forro de PVC em réguas de 100 x 6000mm, sem estrutura</t>
  </si>
  <si>
    <t>Forro de PVC modular em placas</t>
  </si>
  <si>
    <t>Forro em chapas metálicas</t>
  </si>
  <si>
    <t>Forro em gesso acartonado monolítico</t>
  </si>
  <si>
    <t>Forro em gesso acartonado monolítico, sem estrutura</t>
  </si>
  <si>
    <t>Forro mineral modulado</t>
  </si>
  <si>
    <t>Forro mineral modulado, sem estrutura</t>
  </si>
  <si>
    <t>Instalação de forro de PVC reaproveitado</t>
  </si>
  <si>
    <t>Instalação de forro mineral reaproveitado</t>
  </si>
  <si>
    <t>Tabica metálica em forro de gesso acartonado</t>
  </si>
  <si>
    <t>Instalação de revestimento de piso têxtil (carpete) reaproveitado</t>
  </si>
  <si>
    <t>Cordão de massa de vidraceiro</t>
  </si>
  <si>
    <t>Espelho cristal, e=5 mm</t>
  </si>
  <si>
    <t>Instalação de vidro reaproveitado</t>
  </si>
  <si>
    <t>Substituição da calafetação com selante</t>
  </si>
  <si>
    <t>Vidro liso comum transparente 4mm</t>
  </si>
  <si>
    <t>Vidro liso comum transparente 6mm</t>
  </si>
  <si>
    <t>Instalação de painéis de vidro temperado reaproveitados</t>
  </si>
  <si>
    <t>Mola hidráulica de piso</t>
  </si>
  <si>
    <t>Instalação de persianas reaproveitadas</t>
  </si>
  <si>
    <t>SF-00162</t>
  </si>
  <si>
    <t>Persiana vertical em alumínio 90 mm, cor verde claro</t>
  </si>
  <si>
    <t>SF-00163</t>
  </si>
  <si>
    <t>Persiana vertical em tecido Juta Resinado sem blecaute de 90mm, cor bege</t>
  </si>
  <si>
    <t>SF-00164</t>
  </si>
  <si>
    <t>Persiana vertical em tecido sintético sem blecaute de 90mm, cores verde escuro ou branca</t>
  </si>
  <si>
    <t>SF-00165</t>
  </si>
  <si>
    <t>Película jateada</t>
  </si>
  <si>
    <t>Tubo de ligação para bacia sanitária</t>
  </si>
  <si>
    <t>Tubo PVC esgoto ou aguas pluviais predial DN 100mm</t>
  </si>
  <si>
    <t>Tubo PVC esgoto ou aguas pluviais predial DN 40mm</t>
  </si>
  <si>
    <t>Tubo PVC esgoto ou aguas pluviais predial DN 50mm</t>
  </si>
  <si>
    <t>Tubo PVC esgoto ou aguas pluviais predial DN 75mm</t>
  </si>
  <si>
    <t>Tubo PVC soldável agua fria DN 25mm</t>
  </si>
  <si>
    <t>Tubo PVC soldável agua fria DN 32mm</t>
  </si>
  <si>
    <t>Tubo PVC soldável agua fria DN 40mm</t>
  </si>
  <si>
    <t>Tubo PVC soldável agua fria DN 50mm</t>
  </si>
  <si>
    <t>Base registro gaveta 3/4"</t>
  </si>
  <si>
    <t>Caixa sifonada de PVC DN 150mm</t>
  </si>
  <si>
    <t>Caixa sifonada de PVC DN 250mm</t>
  </si>
  <si>
    <t>Grelha quadrada para ralo 10x10cm</t>
  </si>
  <si>
    <t>Grelha quadrada para ralo 15x15cm</t>
  </si>
  <si>
    <t>Ralo seco PVC DN 100x40mm</t>
  </si>
  <si>
    <t>Assento para bacia convencional – Linha Administrativa</t>
  </si>
  <si>
    <t>Bacia convencional – Linha Administrativa</t>
  </si>
  <si>
    <t>Bacia convencional com saída horizontal</t>
  </si>
  <si>
    <t>Cuba oval de embutir</t>
  </si>
  <si>
    <t>Cuba retangular em aço inox – Linha Administrativa</t>
  </si>
  <si>
    <t>Cuba semiencaixe quadrada com mesa</t>
  </si>
  <si>
    <t>Instalação de lavatório reaproveitado</t>
  </si>
  <si>
    <t>Instalação de mictório reaproveitado</t>
  </si>
  <si>
    <t>Instalação de vaso sanitário reaproveitado</t>
  </si>
  <si>
    <t>Lavatório suspenso</t>
  </si>
  <si>
    <t>Mictório – Linha Administrativa</t>
  </si>
  <si>
    <t>Tanque 38 litros – Linha Administrativa</t>
  </si>
  <si>
    <t>Acabamento para registro GD – Linha Administrativa</t>
  </si>
  <si>
    <t>Acabamento para registro PQ – Linha Administrativa</t>
  </si>
  <si>
    <t>Ducha higiênica – Linha Administrativa</t>
  </si>
  <si>
    <t>Instalação de metais e acessórios reaproveitados</t>
  </si>
  <si>
    <t>Ligação flexível 1/2” x 40 cm – Linha Administrativa</t>
  </si>
  <si>
    <t>Sifão articulado para cozinha – Linha Administrativa</t>
  </si>
  <si>
    <t>Sifão para lavatório 1 1/2"</t>
  </si>
  <si>
    <t>Sifão para tanque – Linha Administrativa</t>
  </si>
  <si>
    <t>Torneira de mesa para cozinha bica móvel – Linha Administrativa</t>
  </si>
  <si>
    <t>Torneira de mesa para cozinha bica móvel com arejador – Linha Administrativa</t>
  </si>
  <si>
    <t>Torneira de mesa para lavatório – Linha Acessibilidade</t>
  </si>
  <si>
    <t>Torneira de mesa para lavatório bica alta – Linha Administrativa</t>
  </si>
  <si>
    <t>Torneira de mesa para lavatório bica baixa – Linha Administrativa</t>
  </si>
  <si>
    <t>Torneira de mesa para lavatório com fechamento automático – Linha Administrativa</t>
  </si>
  <si>
    <t>Torneira de parede para cozinha bica móvel – Linha Administrativa</t>
  </si>
  <si>
    <t>Torneira de parede para tanque – Linha Administrativa</t>
  </si>
  <si>
    <t>Válvula de descarga 1 1/2" – Linha Acessibilidade</t>
  </si>
  <si>
    <t>Válvula de descarga 1 1/2" – Linha Administrativa</t>
  </si>
  <si>
    <t>Válvula de descarga 1 1/4" – Linha Acessibilidade</t>
  </si>
  <si>
    <t>Válvula de descarga 1 1/4" – Linha Administrativa</t>
  </si>
  <si>
    <t>Válvula de escoamento para lavatório – Linha Administrativa</t>
  </si>
  <si>
    <t>Válvula de escoamento para tanque – Linha Administrativa</t>
  </si>
  <si>
    <t>Válvula descarga para mictório – Linha Administrativa</t>
  </si>
  <si>
    <t>Alarme de emergência para sanitários PNE</t>
  </si>
  <si>
    <t>Barra de apoio 40cm – Linha Acessibilidade</t>
  </si>
  <si>
    <t>Barra de apoio 70cm – Linha Acessibilidade</t>
  </si>
  <si>
    <t>Barra de apoio 80cm – Linha Acessibilidade</t>
  </si>
  <si>
    <t>Barra de apoio lateral fixa 30cm – Linha Acessibilidade</t>
  </si>
  <si>
    <t>Lavatório suspenso – Linha Acessibilidade</t>
  </si>
  <si>
    <t>Lavatório suspenso com Coluna – Linha Acessibilidade</t>
  </si>
  <si>
    <t>Cabide – Linha Administrativa</t>
  </si>
  <si>
    <t>Papeleira – Linha Administrativa</t>
  </si>
  <si>
    <t>Porta toalha argola – Linha Administrativa</t>
  </si>
  <si>
    <t>Porta toalha barra – Linha Administrativa</t>
  </si>
  <si>
    <t>Caixa 4x2 de embutir para alvenaria</t>
  </si>
  <si>
    <t>Caixa 4x4 de embutir para alvenaria</t>
  </si>
  <si>
    <t>Caixa de passagem em alumínio 100x100x50mm</t>
  </si>
  <si>
    <t>Caixa de passagem em alumínio 200x200x100mm</t>
  </si>
  <si>
    <t>Caixa de passagem em PVC 150x150x75mm</t>
  </si>
  <si>
    <t>Caixa para piso elevado</t>
  </si>
  <si>
    <t>Canaleta em alumínio aparente 73mmx25mm</t>
  </si>
  <si>
    <t>Condulete de alumínio de 1’’</t>
  </si>
  <si>
    <t>Eletrocalha 100x50 mm</t>
  </si>
  <si>
    <t>Eletrocalha 200x100 mm</t>
  </si>
  <si>
    <t>Eletrocalha 200x50 mm</t>
  </si>
  <si>
    <t>Eletrocalha 300x100 mm</t>
  </si>
  <si>
    <t>Eletrocalha 300x50 mm</t>
  </si>
  <si>
    <t>Eletrocalha 400x50 mm</t>
  </si>
  <si>
    <t>Eletrocalha 50x50 mm</t>
  </si>
  <si>
    <t>Eletroduto de aço galvanizado de 1 1/2"</t>
  </si>
  <si>
    <t>Eletroduto de aço galvanizado de 1 1/4"</t>
  </si>
  <si>
    <t>Eletroduto de aço galvanizado de 1"</t>
  </si>
  <si>
    <t>Eletroduto de aço galvanizado de 2"</t>
  </si>
  <si>
    <t>Eletroduto de aço galvanizado de 3/4"</t>
  </si>
  <si>
    <t>Eletroduto de PVC Corrugado Reforçado 1'' (DE 32mm)</t>
  </si>
  <si>
    <t>Eletroduto de PVC Corrugado Reforçado 3/4'' (DE 25mm)</t>
  </si>
  <si>
    <t>Eletroduto flexível metálico com capa de PVC 1’’</t>
  </si>
  <si>
    <t>Eletroduto flexível metálico com capa de PVC 3/4"</t>
  </si>
  <si>
    <t>Perfilado 38x38mm</t>
  </si>
  <si>
    <t>Espelho 4x2</t>
  </si>
  <si>
    <t>Espelho 4x4</t>
  </si>
  <si>
    <t>Interruptor para condulete</t>
  </si>
  <si>
    <t>Módulo interruptor paralelo</t>
  </si>
  <si>
    <t>Módulo interruptor simples</t>
  </si>
  <si>
    <t>Módulo tomada 10 A</t>
  </si>
  <si>
    <t>Módulo tomada 20 A</t>
  </si>
  <si>
    <t>Tampa cega metálica para caixas de piso 4x2</t>
  </si>
  <si>
    <t>Tampa cega metálica para caixas de piso 4x4</t>
  </si>
  <si>
    <t>Tampa cega para condulete</t>
  </si>
  <si>
    <t>Tampa RJ45 dupla para condulete</t>
  </si>
  <si>
    <t>Tomada para condulete</t>
  </si>
  <si>
    <t>Tomada para perfilado e eletrocalha</t>
  </si>
  <si>
    <t>Bloco autônomo de emergência</t>
  </si>
  <si>
    <t>Instalação de luminária reaproveitada</t>
  </si>
  <si>
    <t>Luminária 2x14 W de embutir</t>
  </si>
  <si>
    <t>Luminária 2x14 W de sobrepor</t>
  </si>
  <si>
    <t>Luminária 2x28 W de embutir</t>
  </si>
  <si>
    <t>Luminária 2x28 W de sobrepor</t>
  </si>
  <si>
    <t>Condutor 10mm²</t>
  </si>
  <si>
    <t>Condutor 16mm²</t>
  </si>
  <si>
    <t>Condutor 2,5 mm²</t>
  </si>
  <si>
    <t>Condutor 3x2,5 mm²</t>
  </si>
  <si>
    <t>Condutor 4 mm²</t>
  </si>
  <si>
    <t>Condutor 4x2,5 mm²</t>
  </si>
  <si>
    <t>Condutor 6 mm²</t>
  </si>
  <si>
    <t>Quadro elétrico TTA</t>
  </si>
  <si>
    <t>SF-00286</t>
  </si>
  <si>
    <t>Ar-condicionado do tipo split piso-teto inverter 54.000BTU/h</t>
  </si>
  <si>
    <t>SF-00287</t>
  </si>
  <si>
    <t>Ar-condicionado fancolete hidrônico dutado 2,5 TR</t>
  </si>
  <si>
    <t>SF-00288</t>
  </si>
  <si>
    <t>Ar-condicionado fancolete hidrônico dutado 4,5 TR</t>
  </si>
  <si>
    <t>SF-00289</t>
  </si>
  <si>
    <t>Ar-condicionado fancolete hidrônico hi-wall 1,4 TR</t>
  </si>
  <si>
    <t>SF-00290</t>
  </si>
  <si>
    <t>Ar-condicionado split dutado inverter 30.000 BTU/h</t>
  </si>
  <si>
    <t>SF-00291</t>
  </si>
  <si>
    <t>Ar-condicionado split hi-wall inverter 12.000 BTU/h</t>
  </si>
  <si>
    <t>SF-00292</t>
  </si>
  <si>
    <t>Ar-condicionado split hi-wall inverter 22.000 BTU/h</t>
  </si>
  <si>
    <t>Instalação de fancolete reaproveitado</t>
  </si>
  <si>
    <t>Instalação de split reaproveitado</t>
  </si>
  <si>
    <t>Exaustor axial 340 m3/h</t>
  </si>
  <si>
    <t>Exaustor axial 865 m3/h</t>
  </si>
  <si>
    <t>Duto chapa galvanizada # 22</t>
  </si>
  <si>
    <t>Duto flexível 6”</t>
  </si>
  <si>
    <t>Duto flexível 8”</t>
  </si>
  <si>
    <t>Difusor de ar quadrado 360x360 mm</t>
  </si>
  <si>
    <t>Difusor de ar quadrado com caixa plenum AK6 360x360 mm</t>
  </si>
  <si>
    <t>Difusor de ar quadrado para insuflamento em duas direções perpendiculares 376x376 mm</t>
  </si>
  <si>
    <t>Difusor de ar retangular para insuflamento em duas direções 371x208 mm</t>
  </si>
  <si>
    <t>Difusor de ar retangular para insuflamento em três direções 264x432 mm</t>
  </si>
  <si>
    <t>Difusor de ar retangular para insuflamento em três direções 320x562 mm</t>
  </si>
  <si>
    <t>Difusor de ar retangular para insuflamento em três direções 371x208 mm</t>
  </si>
  <si>
    <t>Difusor de ar retangular para insuflamento em uma direção 371x208 mm</t>
  </si>
  <si>
    <t>Grelha para retorno retangular 425x225 mm</t>
  </si>
  <si>
    <t>Grelha para retorno retangular 525x325 mm</t>
  </si>
  <si>
    <t>Instalação de difusores, grelhas e acessórios de climatização reaproveitados</t>
  </si>
  <si>
    <t>Instalação de exaustor reaproveitado</t>
  </si>
  <si>
    <t>Preparação para instalação de difusores/grelhas de ar em portas</t>
  </si>
  <si>
    <t>Bomba para condensado de ar-condicionado para instalação oculta</t>
  </si>
  <si>
    <t>Fita aluminizada para refrigeração 48 mm</t>
  </si>
  <si>
    <t>Fita PVC 100 mm para acabamento em refrigeração</t>
  </si>
  <si>
    <t>Mangueira emborrachada 3/4" para água gelada</t>
  </si>
  <si>
    <t>Suporte para unidade condensadora de aparelho split</t>
  </si>
  <si>
    <t>Filtro em Y 1"</t>
  </si>
  <si>
    <t>Filtro em Y 3/4"</t>
  </si>
  <si>
    <t>Válvula de balanceamento e controle independente da pressão (PIBCV) 2 vias 1"</t>
  </si>
  <si>
    <t>Válvula de balanceamento e controle independente da pressão (PIBCV) 2 vias 3/4"</t>
  </si>
  <si>
    <t>Válvula de esfera em bronze 1 1/2"</t>
  </si>
  <si>
    <t>Válvula de esfera em bronze 1 1/4"</t>
  </si>
  <si>
    <t>Válvula de esfera em bronze 1"</t>
  </si>
  <si>
    <t>Válvula de esfera em bronze 3/4"</t>
  </si>
  <si>
    <t>Isolamento elastomérico em formato de prancha autoadesiva</t>
  </si>
  <si>
    <t>Isolamento elastomérico para tubulações de cobre de 1 1/8" / tubulações de ferro de 3/4"</t>
  </si>
  <si>
    <t>Isolamento elastomérico para tubulações de cobre de 1/2"</t>
  </si>
  <si>
    <t>Isolamento elastomérico para tubulações de cobre de 1/4"</t>
  </si>
  <si>
    <t>Isolamento elastomérico para tubulações de cobre de 3/4"</t>
  </si>
  <si>
    <t>Isolamento elastomérico para tubulações de cobre de 3/8"</t>
  </si>
  <si>
    <t>Isolamento elastomérico para tubulações de cobre de 5/8"</t>
  </si>
  <si>
    <t>Isolamento elastomérico para tubulações de cobre de 7/8" / tubulações de ferro de 1/2"</t>
  </si>
  <si>
    <t>Isolamento elastomérico para tubulações de cobre de 1"</t>
  </si>
  <si>
    <t>Isolamento elastomérico para tubulações de ferro de 1 1/2"</t>
  </si>
  <si>
    <t>Isolamento elastomérico para tubulações de ferro de 1 1/4"</t>
  </si>
  <si>
    <t>Isolamento elastomérico para tubulações de ferro de 1"</t>
  </si>
  <si>
    <t>Proteção mecânica em alumínio</t>
  </si>
  <si>
    <t>Tubo de aço-carbono galvanizado 1 1/2"</t>
  </si>
  <si>
    <t>Tubo de aço-carbono galvanizado 1 1/4"</t>
  </si>
  <si>
    <t>Tubo de aço-carbono galvanizado 1"</t>
  </si>
  <si>
    <t>Tubo de aço-carbono galvanizado 3/4"</t>
  </si>
  <si>
    <t>Tubo de cobre de 1/2"</t>
  </si>
  <si>
    <t>Tubo de cobre de 1/4"</t>
  </si>
  <si>
    <t>Tubo de cobre de 3/4"</t>
  </si>
  <si>
    <t>Tubo de cobre de 3/8"</t>
  </si>
  <si>
    <t>Tubo de cobre de 5/8"</t>
  </si>
  <si>
    <t>Tubo de cobre de 7/8"</t>
  </si>
  <si>
    <t>Tubo de cobre de 1"</t>
  </si>
  <si>
    <t>Tubo de cobre de 1 1/8"</t>
  </si>
  <si>
    <t>SF-00352</t>
  </si>
  <si>
    <t>Armário em MDF laminado com porta e prateleiras</t>
  </si>
  <si>
    <t>SF-00353</t>
  </si>
  <si>
    <t>Armários em MDF laminado com porta e gavetas</t>
  </si>
  <si>
    <t>Instalação de armários reaproveitados</t>
  </si>
  <si>
    <t>Mesa/tampo de MDF, fixada em parede com mão-francesa</t>
  </si>
  <si>
    <t>Painel para TV de 120 x 180 cm</t>
  </si>
  <si>
    <t>Painel para TV de 160 x 160 cm</t>
  </si>
  <si>
    <t>Painel para TV de 90 x 120 cm</t>
  </si>
  <si>
    <t>Chapa de proteção para porta – Linha Acessibilidade</t>
  </si>
  <si>
    <t>Instalação de batentes de madeira reaproveitados</t>
  </si>
  <si>
    <t>Instalação de folhas de portas e dobradiças reaproveitadas</t>
  </si>
  <si>
    <t>Dobradiça para porta</t>
  </si>
  <si>
    <t>Fechadura para banheiro maçaneta em barra</t>
  </si>
  <si>
    <t>Fechadura para porta externa maçaneta em barra</t>
  </si>
  <si>
    <t>Fechadura para porta interna maçaneta tubular</t>
  </si>
  <si>
    <t>Instalação de fechadura/puxador de porta reaproveitados</t>
  </si>
  <si>
    <t>Mola hidráulica aérea</t>
  </si>
  <si>
    <t>Pivô em latão com acabamento cromado para portas pivotantes</t>
  </si>
  <si>
    <t>Cabo de dados tipo UTP, tipo LSZH, categoria 6</t>
  </si>
  <si>
    <t>Módulo (tomada) de rede RJ45, categoria 6, com conectorização e certificação</t>
  </si>
  <si>
    <t>Painel de distribuição (patch panel) de 24 portas, categoria 6</t>
  </si>
  <si>
    <t>Cabo de telefonia tipo CCI 50x2</t>
  </si>
  <si>
    <t>Módulo (tomada) de rede RJ45, para telefonia</t>
  </si>
  <si>
    <t>Grelha para retorno para portas, divisórias e paredes 525x325 mm</t>
  </si>
  <si>
    <t>SF-00381</t>
  </si>
  <si>
    <t>Anilina</t>
  </si>
  <si>
    <t>SF-00382</t>
  </si>
  <si>
    <t>Seladora incolor</t>
  </si>
  <si>
    <t>Litro</t>
  </si>
  <si>
    <t>SF-00383</t>
  </si>
  <si>
    <t>Veladura</t>
  </si>
  <si>
    <t>900 ml</t>
  </si>
  <si>
    <t>SF-00384</t>
  </si>
  <si>
    <t>Massa para calafetar madeira</t>
  </si>
  <si>
    <t>SF-00385</t>
  </si>
  <si>
    <t>Removedor pastoso</t>
  </si>
  <si>
    <t>SF-00386</t>
  </si>
  <si>
    <t>Tingidor para madeira</t>
  </si>
  <si>
    <t>150 ml</t>
  </si>
  <si>
    <t>SF-00387</t>
  </si>
  <si>
    <t>Thinner</t>
  </si>
  <si>
    <t>SF-00388</t>
  </si>
  <si>
    <t>Goma Laca Indiana</t>
  </si>
  <si>
    <t>SF-00389</t>
  </si>
  <si>
    <t>Cera em pasta para madeira</t>
  </si>
  <si>
    <t>SF-00390</t>
  </si>
  <si>
    <t>Fita de borda de 22 mm para encabeçamento</t>
  </si>
  <si>
    <t>SF-00391</t>
  </si>
  <si>
    <t>Fita de borda de 35 mm para encabeçamento</t>
  </si>
  <si>
    <t>SF-00392</t>
  </si>
  <si>
    <t>Fita de borda de 64 mm para encabeçamento</t>
  </si>
  <si>
    <t>SF-00393</t>
  </si>
  <si>
    <t>Fita de borda de 45 mm para encabeçamento</t>
  </si>
  <si>
    <t>SF-00394</t>
  </si>
  <si>
    <t>Suporte para prateleira redondo - 10mm x 15mm</t>
  </si>
  <si>
    <t>SF-00395</t>
  </si>
  <si>
    <t>Rodízio Giratório com Freio - 2 Polegadas</t>
  </si>
  <si>
    <t>SF-00396</t>
  </si>
  <si>
    <t>Rodízio fixo de 4 Polegadas</t>
  </si>
  <si>
    <t>SF-00397</t>
  </si>
  <si>
    <t>Rodízio Giratório  Ref. 1500HC – Base de Pino com Bucha</t>
  </si>
  <si>
    <t>SF-00398</t>
  </si>
  <si>
    <t>Cordão para Persiana Horizontal (metro)</t>
  </si>
  <si>
    <t>SF-00399</t>
  </si>
  <si>
    <t>Cordão para Persiana Vertical (metro)</t>
  </si>
  <si>
    <t>SF-00400</t>
  </si>
  <si>
    <t>Freio de Cordão de Persiana (travador de cordão) e acionador</t>
  </si>
  <si>
    <t>SF-00401</t>
  </si>
  <si>
    <t>Corrente para persiana (com clip)</t>
  </si>
  <si>
    <t>SF-00402</t>
  </si>
  <si>
    <t>Peso envelope para persiana</t>
  </si>
  <si>
    <t>SF-00403</t>
  </si>
  <si>
    <t>Rodízio de Cortina Comum</t>
  </si>
  <si>
    <t>SF-00404</t>
  </si>
  <si>
    <t>Cantoneira 2 furos - Cioba</t>
  </si>
  <si>
    <t>SF-00405</t>
  </si>
  <si>
    <t>Dobradiça para porta com anel</t>
  </si>
  <si>
    <t>SF-00406</t>
  </si>
  <si>
    <t>Dobradiça curva para porta de armário (com parafuso de fixação)</t>
  </si>
  <si>
    <t>SF-00407</t>
  </si>
  <si>
    <t>Fechadura para porta externa maçaneta em barra (fornecimento)</t>
  </si>
  <si>
    <t>Fechadura para Porta Externa com Espelho - Millenio</t>
  </si>
  <si>
    <t>SF-00409</t>
  </si>
  <si>
    <t>Fechadura para Porta de Banheiro com Espelho - Millenio</t>
  </si>
  <si>
    <t>SF-00410</t>
  </si>
  <si>
    <t>Fechadura para porta de divisória - Soprano</t>
  </si>
  <si>
    <t>SF-00411</t>
  </si>
  <si>
    <t>Tarjeta Livre / Ocupado para portas de banheiro</t>
  </si>
  <si>
    <t>SF-00412</t>
  </si>
  <si>
    <t>Fechadura tubular cilíndrica para porta de divisória</t>
  </si>
  <si>
    <t>SF-00413</t>
  </si>
  <si>
    <t>Fechadura Cilíndrica para Armário</t>
  </si>
  <si>
    <t>SF-00414</t>
  </si>
  <si>
    <t>Fechadura de embutir para armário e gaveta</t>
  </si>
  <si>
    <t>SF-00415</t>
  </si>
  <si>
    <t>Fechadura de embutir para móveis – Fechamento Superior - Referência 861</t>
  </si>
  <si>
    <t>SF-00416</t>
  </si>
  <si>
    <t>Fechadura de embutir para móveis – Fechamento lateral - Referência 871</t>
  </si>
  <si>
    <t>SF-00417</t>
  </si>
  <si>
    <t>Fechadura para porta de correr (Bico de Papagaio)</t>
  </si>
  <si>
    <t>SF-00418</t>
  </si>
  <si>
    <t>Fechadura para Gaveteiro</t>
  </si>
  <si>
    <t>SF-00419</t>
  </si>
  <si>
    <t>Fechadura para porta de divisória – LaFonte</t>
  </si>
  <si>
    <t>SF-00420</t>
  </si>
  <si>
    <t>Fechadura para Porta de divisória - Lockwell</t>
  </si>
  <si>
    <t>SF-00421</t>
  </si>
  <si>
    <t>Fechadura para Vitrine de 140 mm</t>
  </si>
  <si>
    <t>SF-00422</t>
  </si>
  <si>
    <t>Fecho para porta de armário – Tipo Gangorra – 75 mm</t>
  </si>
  <si>
    <t>SF-00423</t>
  </si>
  <si>
    <t>Fecho para porta de armário – Tipo Gangorra – 130 mm</t>
  </si>
  <si>
    <t>SF-00424</t>
  </si>
  <si>
    <t>Fecho de Pressão Tipo Roller</t>
  </si>
  <si>
    <t>SF-00425</t>
  </si>
  <si>
    <t>Fecho Eletromagnético</t>
  </si>
  <si>
    <t>SF-00426</t>
  </si>
  <si>
    <t>Acionador de Fechadura Elétrica</t>
  </si>
  <si>
    <t>SF-00427</t>
  </si>
  <si>
    <t>Puxador em Botão côncavo de 25mm de diâmetro</t>
  </si>
  <si>
    <t>SF-00428</t>
  </si>
  <si>
    <t>Puxador em botão convexo de 25mm de diâmetro</t>
  </si>
  <si>
    <t>SF-00429</t>
  </si>
  <si>
    <t>Corrediça Simples de Roldanas - 250 mm a 300 mm</t>
  </si>
  <si>
    <t>par</t>
  </si>
  <si>
    <t>SF-00430</t>
  </si>
  <si>
    <t>Corrediça Simples de Roldanas - 350 mm a 400 mm</t>
  </si>
  <si>
    <t>SF-00431</t>
  </si>
  <si>
    <t>Corrediça Simples de Roldanas - 450 mm a 500 mm</t>
  </si>
  <si>
    <t>SF-00432</t>
  </si>
  <si>
    <t>Corrediça Simples de Roldanas - 550 mm</t>
  </si>
  <si>
    <t>SF-00433</t>
  </si>
  <si>
    <t>Corrediça Telescópica - 300 mm</t>
  </si>
  <si>
    <t>SF-00434</t>
  </si>
  <si>
    <t>Corrediça Telescópica - 400 mm; 450 mm; 500 mm</t>
  </si>
  <si>
    <t>SF-00435</t>
  </si>
  <si>
    <t>Gancho de ferro com rosca – 17 x 50</t>
  </si>
  <si>
    <t>SF-00436</t>
  </si>
  <si>
    <t>Gancho de ferro tipo "pitão" com rosca – 21 x 80</t>
  </si>
  <si>
    <t>SF-00437</t>
  </si>
  <si>
    <t>Suporte triangular para quadro - nº 2</t>
  </si>
  <si>
    <t>SF-00438</t>
  </si>
  <si>
    <t>Suporte triangular para quadro - nº 3</t>
  </si>
  <si>
    <t>SF-00439</t>
  </si>
  <si>
    <t>Sapata niveladora para móveis com rosca 3/8"</t>
  </si>
  <si>
    <t>SF-00440</t>
  </si>
  <si>
    <t>Sapata niveladora para móveis com base de 40 mm</t>
  </si>
  <si>
    <t>SF-00441</t>
  </si>
  <si>
    <t>Sapata niveladora para móveis com base de 60 mm</t>
  </si>
  <si>
    <t>SF-00442</t>
  </si>
  <si>
    <t>Cabide duplo com gancho grande para banheiro</t>
  </si>
  <si>
    <t>SF-00443</t>
  </si>
  <si>
    <t>Puxador alça 102mm</t>
  </si>
  <si>
    <t>SF-00444</t>
  </si>
  <si>
    <t>Puxador tipo “C” em arco - 128mm</t>
  </si>
  <si>
    <t>SF-00445</t>
  </si>
  <si>
    <t>Puxador tipo “C” em arco - 96mm</t>
  </si>
  <si>
    <t>SF-00446</t>
  </si>
  <si>
    <t>Bucha para Gesso K 54</t>
  </si>
  <si>
    <t>SF-00447</t>
  </si>
  <si>
    <t>Alavanca curva com argola para basculante com cavalete – Direita ou Esquerda</t>
  </si>
  <si>
    <t>SF-00448</t>
  </si>
  <si>
    <t>Alavanca reta (chata) com argola para basculante com cavalete</t>
  </si>
  <si>
    <t>SF-00449</t>
  </si>
  <si>
    <t>Fecho maximar alavanca 100mm cromado</t>
  </si>
  <si>
    <t>SF-00450</t>
  </si>
  <si>
    <t>Gonzo com aba 1”</t>
  </si>
  <si>
    <t>SF-00451</t>
  </si>
  <si>
    <t>Gonzo com aba 3/4"</t>
  </si>
  <si>
    <t>SF-00452</t>
  </si>
  <si>
    <t>Gonzo com aba 7/8"</t>
  </si>
  <si>
    <t>SF-00453</t>
  </si>
  <si>
    <t>Gonzo sem aba 1"</t>
  </si>
  <si>
    <t>SF-00454</t>
  </si>
  <si>
    <t>Gonzo sem aba 3/4"</t>
  </si>
  <si>
    <t>SF-00455</t>
  </si>
  <si>
    <t>Gonzo sem aba 7/8"</t>
  </si>
  <si>
    <t>SF-00456</t>
  </si>
  <si>
    <t>Roldana em aço tipo Canal em (V) com eixo furado e 2 rolamentos (medidas: 2 1/2" x 50mm ou 2 1/2" x 70mm)</t>
  </si>
  <si>
    <t>SF-00457</t>
  </si>
  <si>
    <t>Roldana em aço tipo Canal em (V) com eixo furado e 2 rolamentos  (medidas: 3” x 50mm ou 3 1/2" x 50mm ou 3 1/2" x 70mm)</t>
  </si>
  <si>
    <t>SF-00458</t>
  </si>
  <si>
    <t>Mancal Pedestal</t>
  </si>
  <si>
    <t>SF-00459</t>
  </si>
  <si>
    <t>Rolamento rígido de esfera</t>
  </si>
  <si>
    <t>SF-00460</t>
  </si>
  <si>
    <t>Fixador trava porta de piso niquelado</t>
  </si>
  <si>
    <t>SF-00461</t>
  </si>
  <si>
    <t>Batedor de porta cilíndrico de 25mmx25mm</t>
  </si>
  <si>
    <t>SF-00462</t>
  </si>
  <si>
    <t>Porta cadeado de 4 1/2"</t>
  </si>
  <si>
    <t>SF-00463</t>
  </si>
  <si>
    <t>Porta Cadeado de 4”</t>
  </si>
  <si>
    <t>SF-00464</t>
  </si>
  <si>
    <t>Suporte para mesa dobrável</t>
  </si>
  <si>
    <t>SF-00465</t>
  </si>
  <si>
    <t>Suporte universal fixo de parede para TV</t>
  </si>
  <si>
    <t>SF-00466</t>
  </si>
  <si>
    <t>Mola aérea hidráulica automática para portas</t>
  </si>
  <si>
    <t>Espuma Expansiva à base de poliuretano</t>
  </si>
  <si>
    <t>500 ml</t>
  </si>
  <si>
    <t>SF-00468</t>
  </si>
  <si>
    <t>Adesivo de Contato à Base d’água</t>
  </si>
  <si>
    <t>SF-00469</t>
  </si>
  <si>
    <t>Adesivo de Contato de Alto Desempenho sem Toluol</t>
  </si>
  <si>
    <t>SF-00470</t>
  </si>
  <si>
    <t>Laminado fenólico melamínico texturizado - Azul Noturno</t>
  </si>
  <si>
    <t>SF-00471</t>
  </si>
  <si>
    <t>Laminado fenólico melamínico texturizado - Branco</t>
  </si>
  <si>
    <t>SF-00472</t>
  </si>
  <si>
    <t>Laminado fenólico melamínico texturizado - Ovo</t>
  </si>
  <si>
    <t>SF-00473</t>
  </si>
  <si>
    <t>SF-00474</t>
  </si>
  <si>
    <t>Lâmina de Madeira - Marfim</t>
  </si>
  <si>
    <t>SF-00475</t>
  </si>
  <si>
    <t>Lâmina de Madeira - Cerejeira</t>
  </si>
  <si>
    <t>SF-00476</t>
  </si>
  <si>
    <t>Compensado laminado comum - 04 mm</t>
  </si>
  <si>
    <t>SF-00477</t>
  </si>
  <si>
    <t>Compensado laminado comum - 06 mm</t>
  </si>
  <si>
    <t>SF-00478</t>
  </si>
  <si>
    <t>Compensado laminado comum - 10 mm</t>
  </si>
  <si>
    <t>SF-00479</t>
  </si>
  <si>
    <t>Compensado laminado comum - 15 mm</t>
  </si>
  <si>
    <t>SF-00480</t>
  </si>
  <si>
    <t>Compensado laminado comum - 20 mm</t>
  </si>
  <si>
    <t>SF-00481</t>
  </si>
  <si>
    <t>SF-00482</t>
  </si>
  <si>
    <t>Compensado Laminado de cerejeira em duas faces - 10 mm</t>
  </si>
  <si>
    <t>SF-00483</t>
  </si>
  <si>
    <t>Compensado Laminado de cerejeira em duas faces - 15 mm</t>
  </si>
  <si>
    <t>SF-00484</t>
  </si>
  <si>
    <t>Compensado Laminado de cerejeira em duas faces - 20 mm</t>
  </si>
  <si>
    <t>SF-00485</t>
  </si>
  <si>
    <t>Compensado Resinado – 10 mm</t>
  </si>
  <si>
    <t>SF-00486</t>
  </si>
  <si>
    <t>Tábua de madeira bruta certificada e aparelhada - Cedrinho</t>
  </si>
  <si>
    <t>SF-00487</t>
  </si>
  <si>
    <t>Tábua de madeira bruta certificada e aparelhada - Freijó</t>
  </si>
  <si>
    <t>SF-00488</t>
  </si>
  <si>
    <t>Tábua de madeira bruta certificada e aparelhada - Cedro</t>
  </si>
  <si>
    <t>SF-00489</t>
  </si>
  <si>
    <t>Tábua de Madeira bruta aparelhada - Pinus</t>
  </si>
  <si>
    <t>SF-00490</t>
  </si>
  <si>
    <t>Sarrafo De Madeira</t>
  </si>
  <si>
    <t>SF-00491</t>
  </si>
  <si>
    <t>Caibro De Madeira</t>
  </si>
  <si>
    <t>SF-00492</t>
  </si>
  <si>
    <t>Pontalete De Madeira</t>
  </si>
  <si>
    <t>SF-00493</t>
  </si>
  <si>
    <t>Ripa De Madeira</t>
  </si>
  <si>
    <t>SF-00494</t>
  </si>
  <si>
    <t>Painel de MDF Laminado – Branco - 06mm</t>
  </si>
  <si>
    <t>SF-00495</t>
  </si>
  <si>
    <t>Painel de MDF Laminado – Ovo - 06mm</t>
  </si>
  <si>
    <t>SF-00496</t>
  </si>
  <si>
    <t>Painel de MDF Laminado - Branco - 15mm</t>
  </si>
  <si>
    <t>SF-00497</t>
  </si>
  <si>
    <t>Painel de MDF Laminado – Ovo - 15mm</t>
  </si>
  <si>
    <t>SF-00498</t>
  </si>
  <si>
    <t>Painel de MDF Laminado – Branco - 18mm</t>
  </si>
  <si>
    <t>SF-00499</t>
  </si>
  <si>
    <t>Painel de MDF Laminado – Ovo - 18mm</t>
  </si>
  <si>
    <t>SF-00500</t>
  </si>
  <si>
    <t>Cantoneira laminada em aço abas iguais 1" x 3/16"</t>
  </si>
  <si>
    <t>SF-00501</t>
  </si>
  <si>
    <t>Cantoneira laminada em aço abas iguais 1"1/4 x 3/16"</t>
  </si>
  <si>
    <t>SF-00502</t>
  </si>
  <si>
    <t>Cantoneira laminada em aço abas iguais 2” x 1/8”</t>
  </si>
  <si>
    <t>SF-00503</t>
  </si>
  <si>
    <t>Cantoneira laminada em aço abas Iguais 2” x 3/16”</t>
  </si>
  <si>
    <t>SF-00504</t>
  </si>
  <si>
    <t>Cantoneira laminada em aço abas Iguais 5/8” x 1/8”</t>
  </si>
  <si>
    <t>SF-00505</t>
  </si>
  <si>
    <t>Chapa aço galvanizado # 16 (kg)</t>
  </si>
  <si>
    <t>SF-00506</t>
  </si>
  <si>
    <t>Ferro chato 1"x1/8"</t>
  </si>
  <si>
    <t>SF-00507</t>
  </si>
  <si>
    <t>Ferro chato 1"x3/16"</t>
  </si>
  <si>
    <t>SF-00508</t>
  </si>
  <si>
    <t>Ferro chato  3/4"x1/4" ou 7/8"x1/4" ou 1” x 1/4”</t>
  </si>
  <si>
    <t>SF-00509</t>
  </si>
  <si>
    <t>Ferro chato 3/4"x1/8"</t>
  </si>
  <si>
    <t>SF-00510</t>
  </si>
  <si>
    <t>Ferro chato 3/4"x3/16"</t>
  </si>
  <si>
    <t>SF-00511</t>
  </si>
  <si>
    <t>Ferro chato 5/8"x1/8"</t>
  </si>
  <si>
    <t>SF-00512</t>
  </si>
  <si>
    <t>Ferro chato 5/8"x3/16"</t>
  </si>
  <si>
    <t>SF-00513</t>
  </si>
  <si>
    <t>Ferro chato 7/8"x1/8"</t>
  </si>
  <si>
    <t>SF-00514</t>
  </si>
  <si>
    <t>Ferro chato 7/8"x3/16"</t>
  </si>
  <si>
    <t>SF-00515</t>
  </si>
  <si>
    <t>Perfil trilho Stanley 60mm x 55mm, # 16</t>
  </si>
  <si>
    <t>SF-00516</t>
  </si>
  <si>
    <t>Perfil U Enrijecido 100mm x 50mm x 17mm</t>
  </si>
  <si>
    <t>SF-00517</t>
  </si>
  <si>
    <t>Perfil Cadeirinha Fechada - 85 x 30 mm a 100 x 30 mm</t>
  </si>
  <si>
    <t>SF-00518</t>
  </si>
  <si>
    <t>Perfil Cadeirinha Fechada – 40 x 30 mm a 55 x 30 mm</t>
  </si>
  <si>
    <t>SF-00519</t>
  </si>
  <si>
    <t>Perfil Cadeirinha Aberta – 65 x 30 mm</t>
  </si>
  <si>
    <t>SF-00520</t>
  </si>
  <si>
    <t>Perfil Cadeirinha Aberta – 40 x 30 mm a 55 x 30 mm</t>
  </si>
  <si>
    <t>SF-00521</t>
  </si>
  <si>
    <t>Perfil Cadeirinha Fêmea – 40 x 30 mm</t>
  </si>
  <si>
    <t>SF-00522</t>
  </si>
  <si>
    <t>Perfil Cadeirinha Fechada Máximo Ar – 30 x 30 mm</t>
  </si>
  <si>
    <t>SF-00523</t>
  </si>
  <si>
    <t>Perfil Cadeirinha Engate – Direito ou Esquerdo</t>
  </si>
  <si>
    <t>SF-00524</t>
  </si>
  <si>
    <t>Perfil Cadeirinha Direito – 30 x 30 x 18 mm</t>
  </si>
  <si>
    <t>SF-00525</t>
  </si>
  <si>
    <t>Perfil Cadeirinha Direito – 60 x 25 mm a 60 x 30 mm</t>
  </si>
  <si>
    <t>SF-00526</t>
  </si>
  <si>
    <t>Perfil “T” dobrado Máximo Ar Abas Iguais – 50 x 30 mm a 60 x 30 mm</t>
  </si>
  <si>
    <t>SF-00527</t>
  </si>
  <si>
    <t>Perfil “T” dobrado Máximo Ar Abas Desiguais – 50 x 25 mm a 50 x 30 mm</t>
  </si>
  <si>
    <t>SF-00528</t>
  </si>
  <si>
    <t>Perfil Superior Máximo Ar – 48 x 30 mm</t>
  </si>
  <si>
    <t>SF-00529</t>
  </si>
  <si>
    <t>Perfil “T” Abas Iguais – 25 x 25 mm</t>
  </si>
  <si>
    <t>SF-00530</t>
  </si>
  <si>
    <t>Perfil “T” Dobrado – 75 x 30 mm</t>
  </si>
  <si>
    <t>SF-00531</t>
  </si>
  <si>
    <t>Perfil “T” Dobrado – 39 x 30 mm; 55 x 30 mm; 65 x 30 mm; ou 60 x 25 mm</t>
  </si>
  <si>
    <t>SF-00532</t>
  </si>
  <si>
    <t>Perfil “T” Dobrado – 39 x 25 mm</t>
  </si>
  <si>
    <t>SF-00533</t>
  </si>
  <si>
    <t>Perfil “T” Dobrado – 1/8” x 7/8” x 6000 mm a  1/8’’ x 1’’ x 6000 mm</t>
  </si>
  <si>
    <t>SF-00534</t>
  </si>
  <si>
    <t>Perfil Marco Vincado – 140 x 32 mm</t>
  </si>
  <si>
    <t>SF-00535</t>
  </si>
  <si>
    <t>Perfil Acabamento - 140 x 15 mm</t>
  </si>
  <si>
    <t>SF-00536</t>
  </si>
  <si>
    <t>Perfil Trilho Superior Tipo “G” - 45 x 30 mm</t>
  </si>
  <si>
    <t>SF-00537</t>
  </si>
  <si>
    <t>Perfil Tampa Trilho “G”</t>
  </si>
  <si>
    <t>SF-00538</t>
  </si>
  <si>
    <t>Chapa Perfurada de Aço Carbono - 3000 x 1200 x 3 mm</t>
  </si>
  <si>
    <t>SF-00539</t>
  </si>
  <si>
    <t>Chapa de Aço Xadrez – 3000 x 1200 x 3 mm</t>
  </si>
  <si>
    <t>SF-00540</t>
  </si>
  <si>
    <t>Ferro Redondo – 1/2”</t>
  </si>
  <si>
    <t>SF-00541</t>
  </si>
  <si>
    <t>Ferro Redondo – 1/4"</t>
  </si>
  <si>
    <t>SF-00542</t>
  </si>
  <si>
    <t>Ferro Redondo – 3/8”</t>
  </si>
  <si>
    <t>SF-00543</t>
  </si>
  <si>
    <t>Ferro Quadrado – 1/2”</t>
  </si>
  <si>
    <t>SF-00544</t>
  </si>
  <si>
    <t>Ferro Quadrado – 1/4”</t>
  </si>
  <si>
    <t>SF-00545</t>
  </si>
  <si>
    <t>Ferro Quadrado – 3/8”</t>
  </si>
  <si>
    <t>SF-00546</t>
  </si>
  <si>
    <t>Ferro maciço 1 1/2”</t>
  </si>
  <si>
    <t>SF-00547</t>
  </si>
  <si>
    <t>Tubo Industrial Redondo – 1”</t>
  </si>
  <si>
    <t>SF-00548</t>
  </si>
  <si>
    <t>Tubo Industrial Redondo – 1 1/2”</t>
  </si>
  <si>
    <t>SF-00549</t>
  </si>
  <si>
    <t>Tubo Industrial Redondo - 1 1/4”</t>
  </si>
  <si>
    <t>SF-00550</t>
  </si>
  <si>
    <t>Tubo Industrial Redondo – 2”</t>
  </si>
  <si>
    <t>SF-00551</t>
  </si>
  <si>
    <t>Tubo quadrado em metalon - 16x16 a 20x20 - chapa 18</t>
  </si>
  <si>
    <t>SF-00552</t>
  </si>
  <si>
    <t>Tubo quadrado em metalon - 25x25 a 40x40 - chapa 18</t>
  </si>
  <si>
    <t>SF-00553</t>
  </si>
  <si>
    <t>Tubo quadrado em metalon - 50x50 - chapa 18</t>
  </si>
  <si>
    <t>SF-00554</t>
  </si>
  <si>
    <t>Tubo retangular em metalon - 30x20 - chapa 18</t>
  </si>
  <si>
    <t>SF-00555</t>
  </si>
  <si>
    <t>Tubo retangular em metalon - 40x20 a 50x30 - chapa 18</t>
  </si>
  <si>
    <t>SF-00556</t>
  </si>
  <si>
    <t>Concertina simples em aço galvanizado, lâminas de 22 x 15mm, diâmetro 45 cm (rolo com 40 espiras)</t>
  </si>
  <si>
    <t>Rolo</t>
  </si>
  <si>
    <t>SF-00557</t>
  </si>
  <si>
    <t>Tela de estuque</t>
  </si>
  <si>
    <t>SF-00558</t>
  </si>
  <si>
    <t>Tela tipo galinheiro (hexagonal) galvanizada 2" BWG 22</t>
  </si>
  <si>
    <t>SF-00559</t>
  </si>
  <si>
    <t>Arame galvanizado, bitola 16 BWG (1,65mm)</t>
  </si>
  <si>
    <t>SF-00560</t>
  </si>
  <si>
    <t>Arame galvanizado nº 20</t>
  </si>
  <si>
    <t>SF-00561</t>
  </si>
  <si>
    <t>Tela em aço galvanizado, tipo alambrado, malha 2, fio 12</t>
  </si>
  <si>
    <t>SF-00562</t>
  </si>
  <si>
    <t>Massa Adesiva Plástica</t>
  </si>
  <si>
    <t>Argamassa Para Contrapiso</t>
  </si>
  <si>
    <t>40 kg</t>
  </si>
  <si>
    <t>Argamassa Múltiplo Uso</t>
  </si>
  <si>
    <t>Cimento Portland CP II E 32</t>
  </si>
  <si>
    <t>50 kg</t>
  </si>
  <si>
    <t>Argamassa Colante tipo AC III</t>
  </si>
  <si>
    <t>20 kg</t>
  </si>
  <si>
    <t>Gesso Para Uso Geral</t>
  </si>
  <si>
    <t>Areia Média</t>
  </si>
  <si>
    <t>Brita Nº 0</t>
  </si>
  <si>
    <t>Brita Nº 1</t>
  </si>
  <si>
    <t>Bloco Cerâmico De 08 Furos</t>
  </si>
  <si>
    <t>Tijolo Maciço</t>
  </si>
  <si>
    <t>Bloco De Concreto Com 02 Furos</t>
  </si>
  <si>
    <t>Bloco De Concreto Tipo Canaleta</t>
  </si>
  <si>
    <t>Vergalhão Ca-60 Diâmetro 5,0 Mm</t>
  </si>
  <si>
    <t>Vergalhão Ca-50 Diâmetro 6,3 Mm</t>
  </si>
  <si>
    <t>Vergalhão Ca-50 Diâmetro 8,0 Mm</t>
  </si>
  <si>
    <t>Vergalhão Ca-50 Diâmetro 10,0 Mm</t>
  </si>
  <si>
    <t>Vergalhão Ca-50 Diâmetro 12,5 Mm</t>
  </si>
  <si>
    <t>Arame Recozido Nº 18</t>
  </si>
  <si>
    <t>Adesivo Estrutural Epóxi Bicomponente</t>
  </si>
  <si>
    <t>SF-00582</t>
  </si>
  <si>
    <t>Adesivo Selante Poliuretano</t>
  </si>
  <si>
    <t>SF-00583</t>
  </si>
  <si>
    <t>Selante de Silicone</t>
  </si>
  <si>
    <t>SF-00584</t>
  </si>
  <si>
    <t>Fita Asfáltica Autoadesiva (30 cm)</t>
  </si>
  <si>
    <t>SF-00585</t>
  </si>
  <si>
    <t>Fita Asfáltica Autoadesiva (45 cm)</t>
  </si>
  <si>
    <t>SF-00586</t>
  </si>
  <si>
    <t>Membrana Impermeabilizante De Alto Desempenho</t>
  </si>
  <si>
    <t>SF-00587</t>
  </si>
  <si>
    <t>Aditivo de Pega Ultrarrápida</t>
  </si>
  <si>
    <t>Aditivo Impermeabilizante</t>
  </si>
  <si>
    <t>SF-00589</t>
  </si>
  <si>
    <t>Aditivo Plastificante Para Argamassa</t>
  </si>
  <si>
    <t>SF-00590</t>
  </si>
  <si>
    <t>Fita adesiva antiderrapante na cor preta</t>
  </si>
  <si>
    <t>SF-00591</t>
  </si>
  <si>
    <t>Fita adesiva antiderrapante na cor preta com faixa fosforescente na cor branca</t>
  </si>
  <si>
    <t>SF-00592</t>
  </si>
  <si>
    <t>Lona Plástica</t>
  </si>
  <si>
    <t>SF-00593</t>
  </si>
  <si>
    <t>Tapa Furo Plástico</t>
  </si>
  <si>
    <t>SF-00594</t>
  </si>
  <si>
    <t>Arremate de Plástico - (Tampa para cabeça de parafuso)</t>
  </si>
  <si>
    <t>SF-00595</t>
  </si>
  <si>
    <t>Rebite de Aço Maciço – 1/4” x 1/2"</t>
  </si>
  <si>
    <t>SF-00596</t>
  </si>
  <si>
    <t>Rebite de Aço Maciço – 3/16” x 1”</t>
  </si>
  <si>
    <t>SF-00597</t>
  </si>
  <si>
    <t>Rebite de Aço Maciço – 3/16” x 1/2"</t>
  </si>
  <si>
    <t>SF-00598</t>
  </si>
  <si>
    <t>Arruela Lisa de  1/2”</t>
  </si>
  <si>
    <t>SF-00599</t>
  </si>
  <si>
    <t>Arruela Lisa de  3/4”</t>
  </si>
  <si>
    <t>SF-00600</t>
  </si>
  <si>
    <t>Arruela Lisa de  5/16”</t>
  </si>
  <si>
    <t>SF-00601</t>
  </si>
  <si>
    <t>Arruela Lisa de  1/4”</t>
  </si>
  <si>
    <t>SF-00602</t>
  </si>
  <si>
    <t>Bucha Plástica S5</t>
  </si>
  <si>
    <t>SF-00603</t>
  </si>
  <si>
    <t>Bucha Plástica S6</t>
  </si>
  <si>
    <t>SF-00604</t>
  </si>
  <si>
    <t>Bucha Plástica S8</t>
  </si>
  <si>
    <t>SF-00605</t>
  </si>
  <si>
    <t>Bucha Plástica S10</t>
  </si>
  <si>
    <t>SF-00606</t>
  </si>
  <si>
    <t>Bucha Plástica S12</t>
  </si>
  <si>
    <t>SF-00607</t>
  </si>
  <si>
    <t>Rebite de Repuxo de 32 x 10</t>
  </si>
  <si>
    <t>SF-00608</t>
  </si>
  <si>
    <t>Rebite de Repuxo de 40 x 12</t>
  </si>
  <si>
    <t>SF-00609</t>
  </si>
  <si>
    <t>Rebite de repuxo de 62 x 30 mm</t>
  </si>
  <si>
    <t>SF-00610</t>
  </si>
  <si>
    <t>Rebite de Repuxo de  3/16” x 30 mm</t>
  </si>
  <si>
    <t>SF-00611</t>
  </si>
  <si>
    <t>Rebite de Repuxo de  4.8 x 12 mm</t>
  </si>
  <si>
    <t>SF-00612</t>
  </si>
  <si>
    <t>Rebite de Repuxo de  4.8 x 25 mm</t>
  </si>
  <si>
    <t>SF-00613</t>
  </si>
  <si>
    <t>Rebite de Repuxo de  6.2 x 22 mm</t>
  </si>
  <si>
    <t>SF-00614</t>
  </si>
  <si>
    <t>Parafuso Phillips Cabeça Chata - 3.0 x 10 mm</t>
  </si>
  <si>
    <t>SF-00615</t>
  </si>
  <si>
    <t>Parafuso Phillips Cabeça Chata - 3.0 x 12 mm</t>
  </si>
  <si>
    <t>SF-00616</t>
  </si>
  <si>
    <t>Parafuso Philips Cabeça Chata - 3.0 x 16</t>
  </si>
  <si>
    <t>SF-00617</t>
  </si>
  <si>
    <t>Parafuso Philips Cabeça Chata - 3.0 x 22</t>
  </si>
  <si>
    <t>SF-00618</t>
  </si>
  <si>
    <t>Parafuso Philips Cabeça Chata - 3.0 x 25</t>
  </si>
  <si>
    <t>SF-00619</t>
  </si>
  <si>
    <t>Parafuso Philips Cabeça Chata - 3.0 x 30</t>
  </si>
  <si>
    <t>SF-00620</t>
  </si>
  <si>
    <t>Parafuso Philips Cabeça Chata - 3.5 x 14</t>
  </si>
  <si>
    <t>SF-00621</t>
  </si>
  <si>
    <t>Parafuso Philips Cabeça Chata - 3.5 x 16</t>
  </si>
  <si>
    <t>SF-00622</t>
  </si>
  <si>
    <t>Parafuso Philips Cabeça Chata - 3.5 x 20</t>
  </si>
  <si>
    <t>SF-00623</t>
  </si>
  <si>
    <t>Parafuso Philips Cabeça Chata - 3.5 x 22  mm</t>
  </si>
  <si>
    <t>SF-00624</t>
  </si>
  <si>
    <t>Parafuso Philips Cabeça Chata - 3.5 x 25 mm</t>
  </si>
  <si>
    <t>SF-00625</t>
  </si>
  <si>
    <t>Parafuso Philips Cabeça Chata - 3.5 x 30</t>
  </si>
  <si>
    <t>SF-00626</t>
  </si>
  <si>
    <t>Parafuso Philips Cabeça Chata - 3.5 x 35</t>
  </si>
  <si>
    <t>SF-00627</t>
  </si>
  <si>
    <t>Parafuso Philips Cabeça Chata - 3.5 x 40</t>
  </si>
  <si>
    <t>SF-00628</t>
  </si>
  <si>
    <t>Parafuso Phillips Cabeça Chata - 40x40mm</t>
  </si>
  <si>
    <t>SF-00629</t>
  </si>
  <si>
    <t>Parafuso Phillips Cabeça Chata - 4.0x45mm</t>
  </si>
  <si>
    <t>SF-00630</t>
  </si>
  <si>
    <t>Parafuso Phillips Cabeça Chata - 4.0x50mm</t>
  </si>
  <si>
    <t>SF-00631</t>
  </si>
  <si>
    <t>Parafuso Phillips cabeça chata - 4.0x60mm</t>
  </si>
  <si>
    <t>SF-00632</t>
  </si>
  <si>
    <t>Parafuso Philips Cabeça Chata - 4.0 x 30</t>
  </si>
  <si>
    <t>SF-00633</t>
  </si>
  <si>
    <t>Parafuso Philips Cabeça Chata - 4.0 x 35</t>
  </si>
  <si>
    <t>SF-00634</t>
  </si>
  <si>
    <t>Parafuso Philips Cabeça Chata - 5.0 x 60</t>
  </si>
  <si>
    <t>SF-00635</t>
  </si>
  <si>
    <t>Parafuso Philips Cabeça Chata - 6.0 x 60</t>
  </si>
  <si>
    <t>SF-00636</t>
  </si>
  <si>
    <t>Parafuso Philips Cabeça Chata - 6.0 x 65</t>
  </si>
  <si>
    <t>SF-00637</t>
  </si>
  <si>
    <t>Porca Tipo Borboleta – 1/4”</t>
  </si>
  <si>
    <t>SF-00638</t>
  </si>
  <si>
    <t>Parafuso Philips Cabeça Oval - 4.0 x 16</t>
  </si>
  <si>
    <t>SF-00639</t>
  </si>
  <si>
    <t>Parafuso Tipo Board</t>
  </si>
  <si>
    <t>SF-00640</t>
  </si>
  <si>
    <t>Cavilha de Madeira – 6 x 30 mm</t>
  </si>
  <si>
    <t>SF-00641</t>
  </si>
  <si>
    <t>Cavilha de Madeira – 8 x 40 mm</t>
  </si>
  <si>
    <t>SF-00642</t>
  </si>
  <si>
    <t>Cavilha de Madeira – 10 x 50 mm</t>
  </si>
  <si>
    <t>SF-00643</t>
  </si>
  <si>
    <t>Orelhinha para suporte de Vitrô</t>
  </si>
  <si>
    <t>SF-00644</t>
  </si>
  <si>
    <t>Prego 18X27</t>
  </si>
  <si>
    <t>SF-00645</t>
  </si>
  <si>
    <t>Ácidos</t>
  </si>
  <si>
    <t>SF-00646</t>
  </si>
  <si>
    <t>Aditivos químicos</t>
  </si>
  <si>
    <t>SF-00647</t>
  </si>
  <si>
    <t>Água destilada</t>
  </si>
  <si>
    <t>SF-00648</t>
  </si>
  <si>
    <t>Água sanitária</t>
  </si>
  <si>
    <t>SF-00649</t>
  </si>
  <si>
    <t>Álcoois</t>
  </si>
  <si>
    <t>SF-00650</t>
  </si>
  <si>
    <t>Botijões de gás inclusive p-13</t>
  </si>
  <si>
    <t>SF-00651</t>
  </si>
  <si>
    <t>Cola branca</t>
  </si>
  <si>
    <t>SF-00652</t>
  </si>
  <si>
    <t>Desengraxantes</t>
  </si>
  <si>
    <t>SF-00653</t>
  </si>
  <si>
    <t>Desengripante</t>
  </si>
  <si>
    <t>SF-00654</t>
  </si>
  <si>
    <t>Detergentes</t>
  </si>
  <si>
    <t>SF-00655</t>
  </si>
  <si>
    <t>Eletrodos para solda</t>
  </si>
  <si>
    <t>SF-00656</t>
  </si>
  <si>
    <t>Espuma</t>
  </si>
  <si>
    <t>SF-00657</t>
  </si>
  <si>
    <t>Escovas para limpeza</t>
  </si>
  <si>
    <t>SF-00658</t>
  </si>
  <si>
    <t>Estopa</t>
  </si>
  <si>
    <t>SF-00659</t>
  </si>
  <si>
    <t>Fita de arquear</t>
  </si>
  <si>
    <t>SF-00660</t>
  </si>
  <si>
    <t>Fita teflon veda-rosca</t>
  </si>
  <si>
    <t>SF-00661</t>
  </si>
  <si>
    <t>Fita vinílica de proteção</t>
  </si>
  <si>
    <t>SF-00662</t>
  </si>
  <si>
    <t>Fitas adesivas</t>
  </si>
  <si>
    <t>SF-00663</t>
  </si>
  <si>
    <t>Fitas isolantes</t>
  </si>
  <si>
    <t>SF-00664</t>
  </si>
  <si>
    <t>Fluxo de solda</t>
  </si>
  <si>
    <t>SF-00665</t>
  </si>
  <si>
    <t>Fundo anticorrosivo</t>
  </si>
  <si>
    <t>SF-00666</t>
  </si>
  <si>
    <t>Gasolina</t>
  </si>
  <si>
    <t>SF-00667</t>
  </si>
  <si>
    <t>Graxas</t>
  </si>
  <si>
    <t>SF-00668</t>
  </si>
  <si>
    <t>Impermeabilizantes</t>
  </si>
  <si>
    <t>SF-00669</t>
  </si>
  <si>
    <t>Jogo de brocas para concreto</t>
  </si>
  <si>
    <t>SF-00670</t>
  </si>
  <si>
    <t>Jogo de brocas para madeira</t>
  </si>
  <si>
    <t>SF-00671</t>
  </si>
  <si>
    <t>Jogo de discos para polir e para lixar</t>
  </si>
  <si>
    <t>SF-00672</t>
  </si>
  <si>
    <t>Jogo de pontas e brocas para metal</t>
  </si>
  <si>
    <t>SF-00673</t>
  </si>
  <si>
    <t>Jogo de pontas para parafusadeira</t>
  </si>
  <si>
    <t>SF-00674</t>
  </si>
  <si>
    <t>Kit de brocas serra copos inclusive para metal</t>
  </si>
  <si>
    <t>SF-00675</t>
  </si>
  <si>
    <t>Lâminas de serra de arco</t>
  </si>
  <si>
    <t>SF-00676</t>
  </si>
  <si>
    <t>Lâminas de serra e de segueta</t>
  </si>
  <si>
    <t>SF-00677</t>
  </si>
  <si>
    <t>Lâminas de serra tico-tico</t>
  </si>
  <si>
    <t>SF-00678</t>
  </si>
  <si>
    <t>Limas chatas</t>
  </si>
  <si>
    <t>SF-00679</t>
  </si>
  <si>
    <t>Limas triangulares</t>
  </si>
  <si>
    <t>SF-00680</t>
  </si>
  <si>
    <t>Lixas</t>
  </si>
  <si>
    <t>SF-00681</t>
  </si>
  <si>
    <t>Lonas</t>
  </si>
  <si>
    <t>SF-00682</t>
  </si>
  <si>
    <t>Lubrificantes</t>
  </si>
  <si>
    <t>SF-00683</t>
  </si>
  <si>
    <t>Materiais de escritório</t>
  </si>
  <si>
    <t>SF-00684</t>
  </si>
  <si>
    <t>Óleos</t>
  </si>
  <si>
    <t>SF-00685</t>
  </si>
  <si>
    <t>Palha de aço</t>
  </si>
  <si>
    <t>SF-00686</t>
  </si>
  <si>
    <t>Panos</t>
  </si>
  <si>
    <t>SF-00687</t>
  </si>
  <si>
    <t>Parafina</t>
  </si>
  <si>
    <t>SF-00688</t>
  </si>
  <si>
    <t>Pasta para solda</t>
  </si>
  <si>
    <t>SF-00689</t>
  </si>
  <si>
    <t>Pilhas e baterias</t>
  </si>
  <si>
    <t>SF-00690</t>
  </si>
  <si>
    <t>Pincéis</t>
  </si>
  <si>
    <t>SF-00691</t>
  </si>
  <si>
    <t>Pregos em tamanhos variados</t>
  </si>
  <si>
    <t>SF-00692</t>
  </si>
  <si>
    <t>Produtos antiferrugem</t>
  </si>
  <si>
    <t>SF-00693</t>
  </si>
  <si>
    <t>Querosene</t>
  </si>
  <si>
    <t>SF-00694</t>
  </si>
  <si>
    <t>Rebolos</t>
  </si>
  <si>
    <t>SF-00695</t>
  </si>
  <si>
    <t>Rebolos de esmeril retangular</t>
  </si>
  <si>
    <t>SF-00696</t>
  </si>
  <si>
    <t>Resinas</t>
  </si>
  <si>
    <t>SF-00697</t>
  </si>
  <si>
    <t>Sabão</t>
  </si>
  <si>
    <t>SF-00698</t>
  </si>
  <si>
    <t>Serra copo</t>
  </si>
  <si>
    <t>SF-00699</t>
  </si>
  <si>
    <t>Silicone</t>
  </si>
  <si>
    <t>SF-00700</t>
  </si>
  <si>
    <t>Soldas</t>
  </si>
  <si>
    <t>SF-00701</t>
  </si>
  <si>
    <t>Solventes</t>
  </si>
  <si>
    <t>SF-00702</t>
  </si>
  <si>
    <t>Utensílios e produtos para limpeza</t>
  </si>
  <si>
    <t>SF-00703</t>
  </si>
  <si>
    <t>Varetas soldadoras</t>
  </si>
  <si>
    <t>SF-00704</t>
  </si>
  <si>
    <t>Vaselina</t>
  </si>
  <si>
    <t>SF-00705</t>
  </si>
  <si>
    <t>Vedante em gel</t>
  </si>
  <si>
    <t>SF-00706</t>
  </si>
  <si>
    <t>Massa epóxi</t>
  </si>
  <si>
    <t>SF-00707</t>
  </si>
  <si>
    <t>Algodão</t>
  </si>
  <si>
    <t>Supervisor(a)-Geral</t>
  </si>
  <si>
    <t>Profissional</t>
  </si>
  <si>
    <t>Apoio Técnico Administrativo – Controle de Almoxarifado</t>
  </si>
  <si>
    <t>Ajudante de Serviços Gerais</t>
  </si>
  <si>
    <t>Ajudante de Marceneiro(a)</t>
  </si>
  <si>
    <t>Ajudante de Serralheiro(a)</t>
  </si>
  <si>
    <t>Lustrador(a) de Móveis</t>
  </si>
  <si>
    <t>Marceneiro(a)</t>
  </si>
  <si>
    <t>Serralheiro(a)</t>
  </si>
  <si>
    <t>Mestre de Obras (Posto de Trabalho)</t>
  </si>
  <si>
    <t>Oficial de Serviços Gerais</t>
  </si>
  <si>
    <t>SF-00718</t>
  </si>
  <si>
    <t>Alicate  de corte diagonal 6''</t>
  </si>
  <si>
    <t>SF-00719</t>
  </si>
  <si>
    <t>Alicate de pressão de 10"</t>
  </si>
  <si>
    <t>SF-00720</t>
  </si>
  <si>
    <t>Alicate meia cana 6''</t>
  </si>
  <si>
    <t>SF-00721</t>
  </si>
  <si>
    <t>SF-00722</t>
  </si>
  <si>
    <t>Alicate universal de 8"</t>
  </si>
  <si>
    <t>SF-00723</t>
  </si>
  <si>
    <t>Arco de serra</t>
  </si>
  <si>
    <t>SF-00724</t>
  </si>
  <si>
    <t>Aspirador de pó industrial</t>
  </si>
  <si>
    <t>SF-00725</t>
  </si>
  <si>
    <t>Balde metálico para concreto 10 L</t>
  </si>
  <si>
    <t>SF-00726</t>
  </si>
  <si>
    <t>Caixa para ferramenta sanfonada metálica com cadeado</t>
  </si>
  <si>
    <t>SF-00727</t>
  </si>
  <si>
    <t>Carretel com linha em caixa de pó para marcação</t>
  </si>
  <si>
    <t>SF-00728</t>
  </si>
  <si>
    <t>Carrinho de mão reforçado</t>
  </si>
  <si>
    <t>SF-00729</t>
  </si>
  <si>
    <t>Cavadeira articulada</t>
  </si>
  <si>
    <t>SF-00730</t>
  </si>
  <si>
    <t>Chave de fenda de 1/2" x 10"</t>
  </si>
  <si>
    <t>SF-00731</t>
  </si>
  <si>
    <t>Chave de fenda de 1/4" x 6"</t>
  </si>
  <si>
    <t>SF-00732</t>
  </si>
  <si>
    <t>Chave de fenda de 3/16" x 5"</t>
  </si>
  <si>
    <t>SF-00733</t>
  </si>
  <si>
    <t>Chave Philips PH2 1/4" x 6"</t>
  </si>
  <si>
    <t>SF-00734</t>
  </si>
  <si>
    <t>Chave Philips PH3 5/16" x 8"</t>
  </si>
  <si>
    <t>SF-00735</t>
  </si>
  <si>
    <t>Compressor de Ar 50 L</t>
  </si>
  <si>
    <t>SF-00736</t>
  </si>
  <si>
    <t>Enxadão com cabo</t>
  </si>
  <si>
    <t>SF-00737</t>
  </si>
  <si>
    <t>Enxadão estreito com cabo</t>
  </si>
  <si>
    <t>SF-00738</t>
  </si>
  <si>
    <t>Escada tipo tesoura duplo acesso de fibra com 2m</t>
  </si>
  <si>
    <t>SF-00739</t>
  </si>
  <si>
    <t>Escada tipo tesoura e singela de fibra com 2 m</t>
  </si>
  <si>
    <t>SF-00740</t>
  </si>
  <si>
    <t>Escala métrica de madeira 2m</t>
  </si>
  <si>
    <t>SF-00741</t>
  </si>
  <si>
    <t>Esmerilhadeira Angular 4,5’’</t>
  </si>
  <si>
    <t>SF-00742</t>
  </si>
  <si>
    <t>Esmerilhadeira Angular 7’’</t>
  </si>
  <si>
    <t>SF-00743</t>
  </si>
  <si>
    <t>Espátula forjada de 12 cm</t>
  </si>
  <si>
    <t>SF-00744</t>
  </si>
  <si>
    <t>Espátula forjada de 4 cm</t>
  </si>
  <si>
    <t>SF-00745</t>
  </si>
  <si>
    <t>Espátula forjada de 8 cm</t>
  </si>
  <si>
    <t>SF-00746</t>
  </si>
  <si>
    <t>Esquadro de metal de 300 mm</t>
  </si>
  <si>
    <t>SF-00747</t>
  </si>
  <si>
    <t>Estilete emborrachado de 18 mm</t>
  </si>
  <si>
    <t>SF-00748</t>
  </si>
  <si>
    <t>Estilete emborrachado de 25 mm</t>
  </si>
  <si>
    <t>SF-00749</t>
  </si>
  <si>
    <t>Faca de 8"</t>
  </si>
  <si>
    <t>SF-00750</t>
  </si>
  <si>
    <t>Furadeira Industrial</t>
  </si>
  <si>
    <t>SF-00751</t>
  </si>
  <si>
    <t>Jogo de chave combinada de 8 mm a 24 mm, com 14 peças</t>
  </si>
  <si>
    <t>SF-00752</t>
  </si>
  <si>
    <t>Jogo de soquetes de 1/2’’, 10-32 mm</t>
  </si>
  <si>
    <t>SF-00753</t>
  </si>
  <si>
    <t>Jogo de soquetes de 1/4’’, 4-13 mm</t>
  </si>
  <si>
    <t>SF-00754</t>
  </si>
  <si>
    <t>Kit Parafusadeira de Impacto à Bateria</t>
  </si>
  <si>
    <t>SF-00755</t>
  </si>
  <si>
    <t>Linha de pedreiro de 100m</t>
  </si>
  <si>
    <t>SF-00756</t>
  </si>
  <si>
    <t>Marreta de 1 kg</t>
  </si>
  <si>
    <t>SF-00757</t>
  </si>
  <si>
    <t>Marreta de borracha de 600g</t>
  </si>
  <si>
    <t>SF-00758</t>
  </si>
  <si>
    <t>Martelo de bola, 500 gramas</t>
  </si>
  <si>
    <t>SF-00759</t>
  </si>
  <si>
    <t>Martelo de pena, 300 gramas</t>
  </si>
  <si>
    <t>SF-00760</t>
  </si>
  <si>
    <t>Martelo de unha</t>
  </si>
  <si>
    <t>SF-00761</t>
  </si>
  <si>
    <t>Nível manual de alumínio com base magnética 350 mm</t>
  </si>
  <si>
    <t>SF-00762</t>
  </si>
  <si>
    <t>Nível manual de alumínio com base magnética 220 mm</t>
  </si>
  <si>
    <t>SF-00763</t>
  </si>
  <si>
    <t>Pá quadrada com 120 cm</t>
  </si>
  <si>
    <t>SF-00764</t>
  </si>
  <si>
    <t>Pedra de afiar dupla face</t>
  </si>
  <si>
    <t>SF-00765</t>
  </si>
  <si>
    <t>Peneira fina</t>
  </si>
  <si>
    <t>SF-00766</t>
  </si>
  <si>
    <t>Peneira grossa</t>
  </si>
  <si>
    <t>SF-00767</t>
  </si>
  <si>
    <t>Peneira média</t>
  </si>
  <si>
    <t>SF-00768</t>
  </si>
  <si>
    <t>Picareta</t>
  </si>
  <si>
    <t>SF-00769</t>
  </si>
  <si>
    <t>Prumo de centro</t>
  </si>
  <si>
    <t>SF-00770</t>
  </si>
  <si>
    <t>Prumo de parede</t>
  </si>
  <si>
    <t>SF-00771</t>
  </si>
  <si>
    <t>Rebitador manual</t>
  </si>
  <si>
    <t>SF-00772</t>
  </si>
  <si>
    <t>Régua de alumínio para pedreiro com 2m</t>
  </si>
  <si>
    <t>SF-00773</t>
  </si>
  <si>
    <t>Serrote comum</t>
  </si>
  <si>
    <t>SF-00774</t>
  </si>
  <si>
    <t>Serrote de costa</t>
  </si>
  <si>
    <t>SF-00775</t>
  </si>
  <si>
    <t>Tesoura de 25 cm</t>
  </si>
  <si>
    <t>SF-00776</t>
  </si>
  <si>
    <t>Tesoura de chapas tipo aviação</t>
  </si>
  <si>
    <t>SF-00777</t>
  </si>
  <si>
    <t>Trena de 5m</t>
  </si>
  <si>
    <t>SF-00778</t>
  </si>
  <si>
    <t>Desempenadeira 1800 x 200 mm</t>
  </si>
  <si>
    <t>SF-00779</t>
  </si>
  <si>
    <t>Formão de 1/2"</t>
  </si>
  <si>
    <t>SF-00780</t>
  </si>
  <si>
    <t>Formão de 1/4"</t>
  </si>
  <si>
    <t>SF-00781</t>
  </si>
  <si>
    <t>Formão de 3/4"</t>
  </si>
  <si>
    <t>SF-00782</t>
  </si>
  <si>
    <t>Grampeador para Molduras</t>
  </si>
  <si>
    <t>SF-00783</t>
  </si>
  <si>
    <t>Grampeador Uso Leve</t>
  </si>
  <si>
    <t>SF-00784</t>
  </si>
  <si>
    <t>Lixadeira de cinta</t>
  </si>
  <si>
    <t>SF-00785</t>
  </si>
  <si>
    <t>Lixadeira e politriz angular 7’’/9’’</t>
  </si>
  <si>
    <t>SF-00786</t>
  </si>
  <si>
    <t>Lixadeira Excêntrica</t>
  </si>
  <si>
    <t>SF-00787</t>
  </si>
  <si>
    <t>Lixadeira Fita</t>
  </si>
  <si>
    <t>SF-00788</t>
  </si>
  <si>
    <t>Lixadeira orbital</t>
  </si>
  <si>
    <t>SF-00789</t>
  </si>
  <si>
    <t>Pinador e Grampeador Pneumático</t>
  </si>
  <si>
    <t>SF-00790</t>
  </si>
  <si>
    <t>Plaina desempenadeira</t>
  </si>
  <si>
    <t>SF-00791</t>
  </si>
  <si>
    <t>Plaina desengrossadeira</t>
  </si>
  <si>
    <t>SF-00792</t>
  </si>
  <si>
    <t>Plaina elétrica</t>
  </si>
  <si>
    <t>SF-00793</t>
  </si>
  <si>
    <t>Plaina manual No. 5</t>
  </si>
  <si>
    <t>SF-00794</t>
  </si>
  <si>
    <t>Policorte 14’’ 2000 W</t>
  </si>
  <si>
    <t>SF-00795</t>
  </si>
  <si>
    <t>Raspador manual para madeira</t>
  </si>
  <si>
    <t>SF-00796</t>
  </si>
  <si>
    <t>Serra meia esquadria</t>
  </si>
  <si>
    <t>SF-00797</t>
  </si>
  <si>
    <t>Serra Meia Esquadria Radial</t>
  </si>
  <si>
    <t>SF-00798</t>
  </si>
  <si>
    <t>Serra tico-tico com controle de velocidade</t>
  </si>
  <si>
    <t>SF-00799</t>
  </si>
  <si>
    <t>Torno para Madeira com Copiador</t>
  </si>
  <si>
    <t>SF-00800</t>
  </si>
  <si>
    <t>Tupia de Coluna</t>
  </si>
  <si>
    <t>SF-00801</t>
  </si>
  <si>
    <t>Tupia de Laminação</t>
  </si>
  <si>
    <t>SF-00802</t>
  </si>
  <si>
    <t>Tupia Estacionária Refiladora de Borda Pinça</t>
  </si>
  <si>
    <t>SF-00803</t>
  </si>
  <si>
    <t>Calandra de chapas motorizada</t>
  </si>
  <si>
    <t>SF-00804</t>
  </si>
  <si>
    <t>Calandra de tubos e perfis motorizada</t>
  </si>
  <si>
    <t>SF-00805</t>
  </si>
  <si>
    <t>Conjunto de Solda Mig 250A</t>
  </si>
  <si>
    <t>SF-00806</t>
  </si>
  <si>
    <t>Maçarico para gás GLP</t>
  </si>
  <si>
    <t>SF-00807</t>
  </si>
  <si>
    <t>Máquina de solda inversora AC/DC 180 A 220 Volts</t>
  </si>
  <si>
    <t>SF-00808</t>
  </si>
  <si>
    <t>Betoneira monofásica 400 litros</t>
  </si>
  <si>
    <t>SF-00809</t>
  </si>
  <si>
    <t>Broxa Retangular</t>
  </si>
  <si>
    <t>SF-00810</t>
  </si>
  <si>
    <t>Caixa plástica para massas (masseira) 20 L</t>
  </si>
  <si>
    <t>SF-00811</t>
  </si>
  <si>
    <t>Colher de pedreiro 9"</t>
  </si>
  <si>
    <t>SF-00812</t>
  </si>
  <si>
    <t>Compactador de percussão elétrico monofásico 3 CV</t>
  </si>
  <si>
    <t>SF-00813</t>
  </si>
  <si>
    <t>Desempenadeira de aço dentada</t>
  </si>
  <si>
    <t>SF-00814</t>
  </si>
  <si>
    <t>Desempenadeira de aço lisa</t>
  </si>
  <si>
    <t>SF-00815</t>
  </si>
  <si>
    <t>Desempenadeira estriada em PVC 14 x 27 cm</t>
  </si>
  <si>
    <t>SF-00816</t>
  </si>
  <si>
    <t>Desempenadeira lisa em PVC 18 x 30 cm</t>
  </si>
  <si>
    <t>SF-00817</t>
  </si>
  <si>
    <t>Martelete demolidor 1,7 kW (12 kg)</t>
  </si>
  <si>
    <t>SF-00818</t>
  </si>
  <si>
    <t>Martelete demolidor 2kW (30 kg)</t>
  </si>
  <si>
    <t>SF-00819</t>
  </si>
  <si>
    <t>Rolo lã de carneiro 23cm com suporte</t>
  </si>
  <si>
    <t>SF-00820</t>
  </si>
  <si>
    <t>Trado perfurador para terra manual 25 cm</t>
  </si>
  <si>
    <t>SF-00821</t>
  </si>
  <si>
    <t>Plataforma de trabalho aéreo articulada</t>
  </si>
  <si>
    <t>dia</t>
  </si>
  <si>
    <t>SF-00822</t>
  </si>
  <si>
    <t>Relógio Biométrico</t>
  </si>
  <si>
    <t>SF-00823</t>
  </si>
  <si>
    <t>Camisa polo manga curta com logotipo da empresa na frente e indicação da categoria profissional nas costas</t>
  </si>
  <si>
    <t>pç</t>
  </si>
  <si>
    <t>SF-00824</t>
  </si>
  <si>
    <t>Camisa polo manga longa com logotipo da empresa na frente e indicação da categoria profissional nas costas</t>
  </si>
  <si>
    <t>SF-00825</t>
  </si>
  <si>
    <t>Calças de material resistente e cor escura</t>
  </si>
  <si>
    <t>SF-00826</t>
  </si>
  <si>
    <t>Gorros com pala (boné) na mesma cor da camisa</t>
  </si>
  <si>
    <t>SF-00827</t>
  </si>
  <si>
    <t>Bota com solado de borracha</t>
  </si>
  <si>
    <t>SF-00828</t>
  </si>
  <si>
    <t>Bota de borracha de cano longo</t>
  </si>
  <si>
    <t>SF-00829</t>
  </si>
  <si>
    <t>Capa de chuva</t>
  </si>
  <si>
    <t>SF-00830</t>
  </si>
  <si>
    <t>Capacete de segurança</t>
  </si>
  <si>
    <t>SF-00831</t>
  </si>
  <si>
    <t>Cinto de segurança tipo paraquedista</t>
  </si>
  <si>
    <t>SF-00832</t>
  </si>
  <si>
    <t>Lanterna profissional</t>
  </si>
  <si>
    <t>SF-00833</t>
  </si>
  <si>
    <t>Lanterna para capacete</t>
  </si>
  <si>
    <t>SF-00834</t>
  </si>
  <si>
    <t>Luva de borracha</t>
  </si>
  <si>
    <t>SF-00835</t>
  </si>
  <si>
    <t>Máscara de proteção respiratória com válvula e com película de carbono FFP2</t>
  </si>
  <si>
    <t>SF-00836</t>
  </si>
  <si>
    <t>Óculos de segurança com proteção lateral total</t>
  </si>
  <si>
    <t>SF-00837</t>
  </si>
  <si>
    <t>Protetor auditivo flexível de inserção</t>
  </si>
  <si>
    <t>SF-00838</t>
  </si>
  <si>
    <t>Protetor Facial</t>
  </si>
  <si>
    <t>SF-00839</t>
  </si>
  <si>
    <t>Talabarte de Posicionamento (Restrição de Movimento)</t>
  </si>
  <si>
    <t>SF-00840</t>
  </si>
  <si>
    <t>Talabarte em Y</t>
  </si>
  <si>
    <t>SF-00841</t>
  </si>
  <si>
    <t>Travaquedas Deslizante Para Corda</t>
  </si>
  <si>
    <t>SF-00842</t>
  </si>
  <si>
    <t>Travaquedas Deslizante Para Cabo de Aço</t>
  </si>
  <si>
    <t>SF-00843</t>
  </si>
  <si>
    <t>Uniforme Antichamas de Proteção Contra Arcos Elétricos</t>
  </si>
  <si>
    <t>Instalação de vidro (comum, temperado, aramado ou laminado) reaproveitado</t>
  </si>
  <si>
    <t>Vidro temperado incolor com 8mm de espessura</t>
  </si>
  <si>
    <t>Vidro liso comum transparente 5mm</t>
  </si>
  <si>
    <t>SF-00847</t>
  </si>
  <si>
    <t>Corte em vidro ou espelho reaproveitado</t>
  </si>
  <si>
    <t>SF-00848</t>
  </si>
  <si>
    <t>Lapidação de vidro / espelho reaproveitado</t>
  </si>
  <si>
    <t>Vidro temperado incolor com 10 mm de espessura</t>
  </si>
  <si>
    <t>Bucha para pivô de dobradiça para vidro temperado</t>
  </si>
  <si>
    <t>Suporte para bandeira de vidro temperado, com ponto de giro para dobradiça</t>
  </si>
  <si>
    <t>Suporte de canto, simples, para vidro temperado</t>
  </si>
  <si>
    <t>Suporte de união, sem batedor, para dois ou três vidros temperados</t>
  </si>
  <si>
    <t>Botão de correção para vidro temperado</t>
  </si>
  <si>
    <t>Fechadura bico-de-papagaio, com furo, para vidro temperado</t>
  </si>
  <si>
    <t>Fechadura bico-de-papagaio, com furo, para janela de vidro temperado</t>
  </si>
  <si>
    <t>Fechadura para porta de abrir de vidro temperado</t>
  </si>
  <si>
    <t>Contra fechadura, para alvenaria, para porta com fechadura 1520/9520</t>
  </si>
  <si>
    <t>Contra fechadura de pressão para porta de vidro temperado</t>
  </si>
  <si>
    <t>Contra fechadura, com furo, para porta com furo</t>
  </si>
  <si>
    <t>Trinco inferior, com miolo, para porta de vidro temperado</t>
  </si>
  <si>
    <t>Mola hidráulica BTS 75R</t>
  </si>
  <si>
    <t>Puxador redondo, padrão em poliéster, para porta de vidro temperado</t>
  </si>
  <si>
    <t>Puxador em aço inox sob medida – Tipo A</t>
  </si>
  <si>
    <t>Dobradiça superior para porta de vidro temperado</t>
  </si>
  <si>
    <t>Perfil em alumínio, tipo U - abas iguais - PU 5/8" x 5/8" – espessura 1,58mm</t>
  </si>
  <si>
    <t>Trilho superior em alumínio 60mm x 49,5mm, para vidro temperado</t>
  </si>
  <si>
    <t>Perfil em alumínio para acabamento de trilho superior</t>
  </si>
  <si>
    <t>Perfil guia inferior de alumínio 39,3 mm x 24 mm para vidro temperado 10mm</t>
  </si>
  <si>
    <t>Capa do Perfil Guia Inferior “Click”</t>
  </si>
  <si>
    <t>Dobradiça inferior para porta de vidro temperado</t>
  </si>
  <si>
    <t>Escova de vedação para vidro temperado</t>
  </si>
  <si>
    <t>Roldana simples para porta de correr em vidro temperado</t>
  </si>
  <si>
    <t>Roldana dupla para porta de correr em vidro temperado</t>
  </si>
  <si>
    <t>Capuchinho para trinco para vidro temperado</t>
  </si>
  <si>
    <t>Facão simples para lateral e bandeira de vidro temperado</t>
  </si>
  <si>
    <t>Fechadura de pressão para porta de abrir em vidro temperado</t>
  </si>
  <si>
    <t>Suporte de união, com miolo, para vidro temperado</t>
  </si>
  <si>
    <t>Suporte para basculante e pivotante de vidro temperado</t>
  </si>
  <si>
    <t>Trinco central para basculante em vidro temperado</t>
  </si>
  <si>
    <t>SF-00882</t>
  </si>
  <si>
    <t>Suporte tipo “Spiderglass” para vidro temperado</t>
  </si>
  <si>
    <t>Dobradiça automática para box de vidro temperado</t>
  </si>
  <si>
    <t>Dobradiça horizontal para vidro basculante com trinco</t>
  </si>
  <si>
    <t>Dobradiça horizontal para vidro basculante</t>
  </si>
  <si>
    <t>Fechadura elétrica para porta de vidro temperado</t>
  </si>
  <si>
    <t>Porteiro eletrônico</t>
  </si>
  <si>
    <t>Acionador fixo</t>
  </si>
  <si>
    <t>Mini chapinha para trinco basculante</t>
  </si>
  <si>
    <t>Puxador de latão - diâmetro 25mm</t>
  </si>
  <si>
    <t>Trinco sem miolo para vidro temperado</t>
  </si>
  <si>
    <t>Tubo de alumínio quadrado 50x50</t>
  </si>
  <si>
    <t>Veda fresta adesivo “E” branco</t>
  </si>
  <si>
    <t>Vedapress 10mm</t>
  </si>
  <si>
    <t>Regulagem de ferragens</t>
  </si>
  <si>
    <t>Vidro fumê / bronze temperado 10mm</t>
  </si>
  <si>
    <t>Puxador em aço inox sob medida – Tipo B</t>
  </si>
  <si>
    <t>Armação de aço CA-50 bitolas de 5,0mm a 8,00mm</t>
  </si>
  <si>
    <t>Pivô para dobradiça inferior (Montagem com a 1103-TQ)</t>
  </si>
  <si>
    <t>Dobradiça direita inferior excêntrica</t>
  </si>
  <si>
    <t>Dobradiça esquerda inferior excêntrica</t>
  </si>
  <si>
    <t>Dobradiça pivotante inferior com trinco</t>
  </si>
  <si>
    <t>Carrinho para porta de correr 1 roldana e 2 furos</t>
  </si>
  <si>
    <t>Carrinho para porta de correr 2 roldanas e 2 furos</t>
  </si>
  <si>
    <t>Carrinho para porta de correr com roldana côncava</t>
  </si>
  <si>
    <t>Guia de nylon para porta de correr</t>
  </si>
  <si>
    <t>Puxador H tubular em aço inox, comprimento 45cm, para portas de vidro temperado</t>
  </si>
  <si>
    <t>Transporte de vidros</t>
  </si>
  <si>
    <t>m2 x km</t>
  </si>
  <si>
    <t>Vidro fantasia 4mm (canelado, martelado, pontilhado e mini-boreal)</t>
  </si>
  <si>
    <t>Vidro fumê/bronze 5mm</t>
  </si>
  <si>
    <t>Recuperação de massa em esquadria metálica</t>
  </si>
  <si>
    <t>Instalação de espelho reaproveitado</t>
  </si>
  <si>
    <t>Finesson (parafuso de fixação francês)</t>
  </si>
  <si>
    <t>Graute industrializado, fck ≥ 25MPa</t>
  </si>
  <si>
    <t>Armação de aço CA-50 bitolas de 10,0mm a 12,50mm</t>
  </si>
  <si>
    <t>Armação de aço CA-50 bitolas de 16,0mm a 25,0mm</t>
  </si>
  <si>
    <t>Remoção de mola hidráulica de piso</t>
  </si>
  <si>
    <t>Escavação manual de valas</t>
  </si>
  <si>
    <t>Reaterro de vala com compactação mecanizada</t>
  </si>
  <si>
    <t>Aterro de vala com compactação mecanizada</t>
  </si>
  <si>
    <t>Tubo de cobre classe "E" 22mm</t>
  </si>
  <si>
    <t>Tubo de cobre classe "E" 28 mm</t>
  </si>
  <si>
    <t>Tubo de cobre classe "E" 42mm</t>
  </si>
  <si>
    <t>Bacia convencional - Linha Acessibilidade</t>
  </si>
  <si>
    <t>Assento para bacia convencional - Linha Acessibilidade</t>
  </si>
  <si>
    <t>Base registro de gaveta 1 1/2”</t>
  </si>
  <si>
    <t>Condutor 25mm²</t>
  </si>
  <si>
    <t>Condutor 35mm²</t>
  </si>
  <si>
    <t>Condutor 50mm²</t>
  </si>
  <si>
    <t>Condutor 70mm²</t>
  </si>
  <si>
    <t>Condutor 95mm²</t>
  </si>
  <si>
    <t>Condutor 120mm²</t>
  </si>
  <si>
    <t>Condutor 150mm²</t>
  </si>
  <si>
    <t>Condutor 185mm²</t>
  </si>
  <si>
    <t>Condutor 240mm²</t>
  </si>
  <si>
    <t>Montagem e desmontagem de andaime fachadeiro</t>
  </si>
  <si>
    <t>Montagem e desmontagem de andaime tubular</t>
  </si>
  <si>
    <t>SF-00939</t>
  </si>
  <si>
    <t>Tensor com indicador de tensão para linha de vida</t>
  </si>
  <si>
    <t>Locação de fechamento para andaimes com tela 100% polietileno</t>
  </si>
  <si>
    <t>SF-00941</t>
  </si>
  <si>
    <t>Plataforma de trabalho aéreo tesoura</t>
  </si>
  <si>
    <t>Remoção de folha de porta de enrolar</t>
  </si>
  <si>
    <t>Base registro de gaveta 1"</t>
  </si>
  <si>
    <t>Base registro de pressão 3/4"</t>
  </si>
  <si>
    <t>SF-00945</t>
  </si>
  <si>
    <t>Porta para box de banheiro em laminado estrutural</t>
  </si>
  <si>
    <t>Tampa em ferro fundido T33</t>
  </si>
  <si>
    <t>Arquiteto(a) com experiência em intervenção no patrimônio cultural</t>
  </si>
  <si>
    <t xml:space="preserve">hh </t>
  </si>
  <si>
    <t>Locação de andaime suspenso tipo leve</t>
  </si>
  <si>
    <t xml:space="preserve">un x mês </t>
  </si>
  <si>
    <t>SF-00949</t>
  </si>
  <si>
    <t>Cadeira suspensa (balancim individual)</t>
  </si>
  <si>
    <t>Limpeza de superfície por hidrojateamento de média pressão</t>
  </si>
  <si>
    <t>Inspeção da integridade e adesão de placas de rocha ornamental por percussão</t>
  </si>
  <si>
    <t>Demolição de proteção mecânica de impermeabilização</t>
  </si>
  <si>
    <t>Impermeabilização com emulsão asfáltica</t>
  </si>
  <si>
    <t>Camada de proteção mecânica simples de impermeabilização</t>
  </si>
  <si>
    <t>Camada de proteção mecânica estruturada de impermeabilização</t>
  </si>
  <si>
    <t>Remoção de placas  de mármore encaixadas por fixadores metálicos (modelo Ed. Principal)</t>
  </si>
  <si>
    <t>Remoção de placas de rocha ornamental argamassada, para reaproveitamento</t>
  </si>
  <si>
    <t>Identificação e acondicionamento de placas de rocha ornamental</t>
  </si>
  <si>
    <t>Limpeza de placas de rocha ornamental argamassada, para reaproveitamento</t>
  </si>
  <si>
    <t>Remoção e acondicionamento de fixadores metálicos para placas de mármore em fachada (modelo Ed. Principal)</t>
  </si>
  <si>
    <t>Instalação de fixadores metálicos para placas de mármore em fachada reaproveitados (modelo Ed. Principal)</t>
  </si>
  <si>
    <t>Fixadores metálicos para rochas ornamentais (tipo Ed. Principal, peça superior)</t>
  </si>
  <si>
    <t>SF-00963</t>
  </si>
  <si>
    <t>Fixadores metálicos para rochas ornamentais, sob medida</t>
  </si>
  <si>
    <t>Mármore Branco Especial 20mm argamassado (Ed. Principal e Anexo 1)</t>
  </si>
  <si>
    <t>Mármore Branco Especial 20mm com inserts e argamassa (Ed. Principal e Anexo 1)</t>
  </si>
  <si>
    <t>Mármore Branco Especial 30mm argamassado (Ed. Principal e Anexo 1)</t>
  </si>
  <si>
    <t>Mármore Branco Especial 30mm com inserts e argamassa (Ed. Principal e Anexo 1)</t>
  </si>
  <si>
    <t>Mármore branco especial, e=30mm, instalação em fixadores metálicos existentes (modelo Edifício Principal)</t>
  </si>
  <si>
    <t>SF-00969</t>
  </si>
  <si>
    <t>Instalação de placas de mármore 30mm reaproveitadas em fixadores metálicos existentes (modelo Edifício Principal)</t>
  </si>
  <si>
    <t>Instalação de placas de rocha ornamental reaproveitadas, por meio de argamassa</t>
  </si>
  <si>
    <t>Instalação de placas de rocha ornamental reaproveitadas, por meio de argamassa e fixadores metálicos</t>
  </si>
  <si>
    <t>Aplicação de hidrofugante à base de silano e silicone</t>
  </si>
  <si>
    <t>Cantoneira em alumínio abas iguais 1" x 1/8" – Pingadeira “L”</t>
  </si>
  <si>
    <t>Granito Amarelo Maracujá para rodapé</t>
  </si>
  <si>
    <t>Acabamento das extremidades aparentes dos parafusos de fixação (lixamento e revestimento)</t>
  </si>
  <si>
    <t>Rejuntamento de placas de rocha ornamental em fachada</t>
  </si>
  <si>
    <t>Junta de movimentação em fachada</t>
  </si>
  <si>
    <t>Adesivo Selante Poliuretano – fornecimento e aplicação</t>
  </si>
  <si>
    <t>SF-00979</t>
  </si>
  <si>
    <t>Esquadria para fachada do Bloco 14</t>
  </si>
  <si>
    <t>Chuveiro elétrico</t>
  </si>
  <si>
    <t>Base para pavimentação com concreto magro</t>
  </si>
  <si>
    <t xml:space="preserve">m3 </t>
  </si>
  <si>
    <t>Pavimentação em concreto armado simples</t>
  </si>
  <si>
    <t>Remoção de reservatório d’água</t>
  </si>
  <si>
    <t>Transporte e destinação final de entulho para distâncias até 30 km</t>
  </si>
  <si>
    <t>m3 x km</t>
  </si>
  <si>
    <t>SF-00985</t>
  </si>
  <si>
    <t>Locação de Caminhão Munck</t>
  </si>
  <si>
    <t>Demolição de estrutura metálica</t>
  </si>
  <si>
    <t xml:space="preserve">kg </t>
  </si>
  <si>
    <t>Escavação manual com profundidade maior do que 1,30 m</t>
  </si>
  <si>
    <t>Escavação mecânica com profundidade maior do que 1,30 m</t>
  </si>
  <si>
    <t>Grama Batatais em placas de 40 x 40 cm</t>
  </si>
  <si>
    <t>Pintura de meios-fios com tinta acrílica</t>
  </si>
  <si>
    <t>Meios-fios em concreto pré-moldado</t>
  </si>
  <si>
    <t>Tubo PEAD corrugado para drenagem – Diâmetro 100 mm</t>
  </si>
  <si>
    <t>SF-00993</t>
  </si>
  <si>
    <t>Carpete aveludado azul royal</t>
  </si>
  <si>
    <t>Fixadores metálicos para rochas ornamentais (Modelo Edifício Principal, peça inferior)</t>
  </si>
  <si>
    <t>SF-00995</t>
  </si>
  <si>
    <t>Montagem e desmontagem de andaime suspenso tipo leve (balancim)</t>
  </si>
  <si>
    <t>SF-00996</t>
  </si>
  <si>
    <t>Deslocamento de andaime suspenso tipo leve (balancim)</t>
  </si>
  <si>
    <t>SF-00997</t>
  </si>
  <si>
    <t>Plataforma elevatória vertical para acessibilidade - Bloco 15 (Espaço do Servidor)</t>
  </si>
  <si>
    <t>SF-00998</t>
  </si>
  <si>
    <t>Linha de vida horizontal em trilho</t>
  </si>
  <si>
    <t xml:space="preserve">pavimento </t>
  </si>
  <si>
    <t>SF-00999</t>
  </si>
  <si>
    <t>Trava quedas retrátil</t>
  </si>
  <si>
    <t>SF-01000</t>
  </si>
  <si>
    <t>Corda de poliéster 8mm</t>
  </si>
  <si>
    <t>Locação de Container - Escritório</t>
  </si>
  <si>
    <t xml:space="preserve">mês </t>
  </si>
  <si>
    <t>SF-01002</t>
  </si>
  <si>
    <t>Dobradiça Piano</t>
  </si>
  <si>
    <t>SF-01003</t>
  </si>
  <si>
    <t>SF-01004</t>
  </si>
  <si>
    <t>Compensado Laminado de Imbuia em duas faces - 10 mm</t>
  </si>
  <si>
    <t>SF-01005</t>
  </si>
  <si>
    <t>SF-01006</t>
  </si>
  <si>
    <t>Compensado Laminado de Freijó em duas faces - 10 mm</t>
  </si>
  <si>
    <t>SF-01007</t>
  </si>
  <si>
    <t>Painel de MDF Laminado – Ovo - 25mm</t>
  </si>
  <si>
    <t>SF-01008</t>
  </si>
  <si>
    <t>Rodízio Giratório sem Freio - 2 Polegadas</t>
  </si>
  <si>
    <t>SF-01009</t>
  </si>
  <si>
    <t>Estrutura metálica em aço – Bloco 19 (Centro de Treinamento)</t>
  </si>
  <si>
    <t>SF-01010</t>
  </si>
  <si>
    <t>Mão francesa metálica</t>
  </si>
  <si>
    <t>Abertura/fechamento de rasgo em concreto</t>
  </si>
  <si>
    <t>Recomposição de rejuntamento sobre revestimentos</t>
  </si>
  <si>
    <t>Impermeabilização de revestimentos em pedra</t>
  </si>
  <si>
    <t>Piso vinílico semiflexível</t>
  </si>
  <si>
    <t>SF-01015</t>
  </si>
  <si>
    <t>Porta metálica de giro com dimensões 0,92 x 2,20m</t>
  </si>
  <si>
    <t>SF-01016</t>
  </si>
  <si>
    <t>Porta metálica de giro com dimensões 0,92 x 2,35 m</t>
  </si>
  <si>
    <t>SF-01017</t>
  </si>
  <si>
    <t>Esquadria metálica de 4 folhas fixas com dimensões de 5,30x1,00m – Bloco 19 (Centro de Treinamento)</t>
  </si>
  <si>
    <t>SF-01018</t>
  </si>
  <si>
    <t>Esquadria metálica de 3 folhas, sendo 2 folhas fixas e 1 de correr com dimensões de 4,10x1,15m – Bloco 19 (Centro de Treinamento)</t>
  </si>
  <si>
    <t>SF-01019</t>
  </si>
  <si>
    <t>Esquadria metálica de 4 folhas, sendo 2 folhas fixas e 2 folhas de correr, com dimensões total de 5,15x1,00m  – Bloco 19 (Centro de Treinamento)</t>
  </si>
  <si>
    <t>SF-01020</t>
  </si>
  <si>
    <t>Esquadria metálica de 4 folhas, sendo 2 fixas e 2 de correr dimensões de 5,30x1,15m – Bloco 19 (Centro de Treinamento)</t>
  </si>
  <si>
    <t>SF-01021</t>
  </si>
  <si>
    <t>Esquadria metálica de 2 folhas basculante com dimensões de 2,31x0,45m – Bloco 19 (Centro de Treinamento)</t>
  </si>
  <si>
    <t>SF-01022</t>
  </si>
  <si>
    <t>Perfil Veneziana Enrijecido 70x19mm</t>
  </si>
  <si>
    <t>SF-01023</t>
  </si>
  <si>
    <t>Perfil U Enrijecido 150mm x 40mm x 15mm</t>
  </si>
  <si>
    <t>SF-01024</t>
  </si>
  <si>
    <t>Perfil Trilho Peitoril - 150mm</t>
  </si>
  <si>
    <t>SF-01025</t>
  </si>
  <si>
    <t>Perfil Marco Reto - 150 x 32 mm</t>
  </si>
  <si>
    <t>SF-01026</t>
  </si>
  <si>
    <t>Perfil Cadeirinha Fechada – 60 x 30 mm</t>
  </si>
  <si>
    <t>SF-01027</t>
  </si>
  <si>
    <t>Perfil Cadeirinha Fechada – 50 x 35 mm</t>
  </si>
  <si>
    <t>SF-01028</t>
  </si>
  <si>
    <t>Perfil Cadeirinha Fechada – 30 x 25 mm</t>
  </si>
  <si>
    <t>Locação de Container - Sanitário</t>
  </si>
  <si>
    <t>Locação de Container - Almoxarifado</t>
  </si>
  <si>
    <t>Placa de Obra</t>
  </si>
  <si>
    <t>SF-01032</t>
  </si>
  <si>
    <t>Supervisor(a) de Obras e Manutenção – Apoio a Projetos de Obras – Arquitetura, civil e hidrossanitária</t>
  </si>
  <si>
    <t>SF-01033</t>
  </si>
  <si>
    <t>Supervisor de Obras e Manutenção - Apoio a Projetos e Obras - Eletromecânico</t>
  </si>
  <si>
    <t>SF-01034</t>
  </si>
  <si>
    <t>Supervisor de Obras e Manutenção – Apoio a projetos e obras - Orçamentos</t>
  </si>
  <si>
    <t>SF-01035</t>
  </si>
  <si>
    <t>Supervisor de Obras e Manutenção – Apoio de campo – Sistemas de climatização</t>
  </si>
  <si>
    <t>SF-01036</t>
  </si>
  <si>
    <t>Supervisor de Obras e Manutenção – Apoio de campo - Elevadores</t>
  </si>
  <si>
    <t>SF-01037</t>
  </si>
  <si>
    <t>Supervisor de Obras e Manutenção – Apoio de campo - Eletrotécnico</t>
  </si>
  <si>
    <t>SF-01038</t>
  </si>
  <si>
    <t>Supervisor de Obras e Manutenção – Apoio de Campo - Obras Civis</t>
  </si>
  <si>
    <t>SF-01039</t>
  </si>
  <si>
    <t>Supervisor de Obras e Manutenção – Apoio de Campo - Hidrossanitário</t>
  </si>
  <si>
    <t>SF-01040</t>
  </si>
  <si>
    <t>Supervisor de Obras e Manutenção – Apoio de campo – Planejamento</t>
  </si>
  <si>
    <t>Supervisor de Obras e Manutenção – Apoio de campo – Segurança do Trabalho</t>
  </si>
  <si>
    <t>SF-01042</t>
  </si>
  <si>
    <t>Máquina fotográfica digital</t>
  </si>
  <si>
    <t>SF-01043</t>
  </si>
  <si>
    <t>Trena de 100m</t>
  </si>
  <si>
    <t>SF-01044</t>
  </si>
  <si>
    <t>Paquímetro digital</t>
  </si>
  <si>
    <t>SF-01045</t>
  </si>
  <si>
    <t>Nível laser</t>
  </si>
  <si>
    <t>SF-01046</t>
  </si>
  <si>
    <t>Trena Laser (curto alcance)</t>
  </si>
  <si>
    <t>SF-01047</t>
  </si>
  <si>
    <t>Trena Laser (longo alcance)</t>
  </si>
  <si>
    <t>SF-01048</t>
  </si>
  <si>
    <t>Tripé para trena laser</t>
  </si>
  <si>
    <t>SF-01049</t>
  </si>
  <si>
    <t>Suporte universal para trena laser</t>
  </si>
  <si>
    <t>SF-01050</t>
  </si>
  <si>
    <t>Detector Multigás</t>
  </si>
  <si>
    <t>SF-01051</t>
  </si>
  <si>
    <t>Prancheta portátil A3</t>
  </si>
  <si>
    <t>SF-01052</t>
  </si>
  <si>
    <t>Luva isolante</t>
  </si>
  <si>
    <t xml:space="preserve">Reparo de placas de mármore com adesivo estrutural epóxi branco/transparente </t>
  </si>
  <si>
    <t>Perfil de chapa de aço galvanizado para esquadria (Anexo 1)</t>
  </si>
  <si>
    <t>SF-01055</t>
  </si>
  <si>
    <t>Modelagem, análise estrutural da edificação em programa computacional de análise estrutural e laudo com parecer técnico - Bloco 15 (Espaço do Servidor)</t>
  </si>
  <si>
    <t>SF-01056</t>
  </si>
  <si>
    <t>Projeto de adaptação/modificação/reforço da estrutura e suas fundações para os novos usos - Bloco 15 (Espaço do Servidor)</t>
  </si>
  <si>
    <t>SF-01057</t>
  </si>
  <si>
    <t>Estrutura metálica em aço para o Bloco 15 (Espaço do Servidor)</t>
  </si>
  <si>
    <t>SF-01058</t>
  </si>
  <si>
    <t>Projeto de distribuição de gás GLP</t>
  </si>
  <si>
    <t>Granito Vermelho Brasília 20 mm para bancadas</t>
  </si>
  <si>
    <t>Porta em alumínio tipo veneziana</t>
  </si>
  <si>
    <t>Janela em alumínio, duas seções, 120x60cm</t>
  </si>
  <si>
    <t>Porta metálica de enrolar</t>
  </si>
  <si>
    <t>Medidor de Gás</t>
  </si>
  <si>
    <t>Registro Esfera para Gás 3/4”</t>
  </si>
  <si>
    <t>Placa de Concreto Pré-Moldado 15 Mpa</t>
  </si>
  <si>
    <t>Eletroduto PEAD 3”</t>
  </si>
  <si>
    <t>SF-01067</t>
  </si>
  <si>
    <t>Caixa de Proteção para Alimentação de Gás</t>
  </si>
  <si>
    <t>Eletroduto de aço galvanizado de 3”</t>
  </si>
  <si>
    <t>Grelha reta para ralo</t>
  </si>
  <si>
    <t>Granito Vermelho Brasília para soleira e peitoril</t>
  </si>
  <si>
    <t>Luminária LED redonda de embutir</t>
  </si>
  <si>
    <t>Piso tátil de borracha</t>
  </si>
  <si>
    <t>Granito Vermelho Brasília 20 mm para divisória</t>
  </si>
  <si>
    <t>Tampa em ferro fundido 20x20 cm</t>
  </si>
  <si>
    <t>SF-01075</t>
  </si>
  <si>
    <t>Sondagem</t>
  </si>
  <si>
    <t>Cerâmica para revestimento de superfícies internas ou externas – Linha GAIL</t>
  </si>
  <si>
    <t>Aterro de vala com areia média e compactação mecanizada</t>
  </si>
  <si>
    <t>Guarda-corpo panorâmico</t>
  </si>
  <si>
    <t>SF-01079</t>
  </si>
  <si>
    <t>Divisória Naval com painel liso cego e bandeira</t>
  </si>
  <si>
    <t>Perfil “U” em aço 25 x 25mm</t>
  </si>
  <si>
    <t>SF-01081</t>
  </si>
  <si>
    <t>Tubo retangular em aço 100 x 50mm</t>
  </si>
  <si>
    <t>Alimentação para mão-de-obra indireta</t>
  </si>
  <si>
    <t>Transporte para mão-de-obra indireta</t>
  </si>
  <si>
    <t>SF-01084</t>
  </si>
  <si>
    <t>Transporte de andaime</t>
  </si>
  <si>
    <t>SF-01085</t>
  </si>
  <si>
    <t>Transporte de Container</t>
  </si>
  <si>
    <t>SF-01086</t>
  </si>
  <si>
    <t>Coifa Convencional Tipo Caixa para Cozinha Industrial - Bloco 15 (Espaço do Servidor)</t>
  </si>
  <si>
    <t>SF-01087</t>
  </si>
  <si>
    <t>Puxador com fecho embutido (punho) para janela metálica</t>
  </si>
  <si>
    <t>Cotovelo bolsa–bolsa 90° para solda em tubulação de cobre diâmetro de 1 3/8"</t>
  </si>
  <si>
    <t>Cotovelo bolsa–bolsa 90° para solda em tubulação de cobre diâmetro de 1 5/8"</t>
  </si>
  <si>
    <t>Cotovelo bolsa–bolsa 90° para solda em tubulação de cobre diâmetro de 7/8"</t>
  </si>
  <si>
    <t>SF-01091</t>
  </si>
  <si>
    <t>Painel metálico para retorno</t>
  </si>
  <si>
    <t>Luva bolsa–bolsa para solda em tubulação de cobre diâmetro de 1 3/8"</t>
  </si>
  <si>
    <t>Luva bolsa–bolsa para solda em tubulação de cobre diâmetro de 1 5/8"</t>
  </si>
  <si>
    <t>Luva bolsa–bolsa para solda em tubulação de cobre diâmetro de 7/8"</t>
  </si>
  <si>
    <t>SF-01095</t>
  </si>
  <si>
    <t>Ar condicionado unitário com compressor montado em condensadora remota, capacidade nominal 49 kW</t>
  </si>
  <si>
    <t>SF-01096</t>
  </si>
  <si>
    <t>Ar condicionado unitário com compressor montado em condensadora remota, capacidade nominal 64 kW</t>
  </si>
  <si>
    <t>Tubo de cobre rígido 1 3/8"</t>
  </si>
  <si>
    <t>Tubo de cobre rígido 1 5/8"</t>
  </si>
  <si>
    <t>SF-01099</t>
  </si>
  <si>
    <t>Porta metálica dupla de giro com dimensões 2,00 x 2,12 m</t>
  </si>
  <si>
    <t>SF-01100</t>
  </si>
  <si>
    <t>Conjunto de porta metálica de giro com dimensões 0,80 x 2,10m e painel fixo</t>
  </si>
  <si>
    <t>Eletroduto flexível metálico com capa de PVC 1 1/2"</t>
  </si>
  <si>
    <t>Técnico(a) em Edificações - Planejamento de Manutenção</t>
  </si>
  <si>
    <t>SF-01103</t>
  </si>
  <si>
    <t>Locação de Retroescavadeira com Pá Carregadeira sobre Rodas</t>
  </si>
  <si>
    <t>Projeto de Impermeabilização</t>
  </si>
  <si>
    <t>Laminado decorativo de alta pressão (LDAP)</t>
  </si>
  <si>
    <t>Granito Preto Absoluto para revestimento de superfícies internas e externas - Linha Administrativa</t>
  </si>
  <si>
    <t>Granito Arabesco para revestimento de superfícies internas e externas - Linha Administrativa</t>
  </si>
  <si>
    <t>Porcelanato para revestimento de superfícies internas e externas - Linha Residencial</t>
  </si>
  <si>
    <t>Granitina para revestimento de pisos</t>
  </si>
  <si>
    <t>Piso vinílico flexível em manta</t>
  </si>
  <si>
    <t>Tratamento de juntas de dilatação ou movimentação</t>
  </si>
  <si>
    <t>Recuperação superficial de preparação para pintura epóxi de alto desempenho</t>
  </si>
  <si>
    <t>Lixamento, calafetação e aplicação de sinteco em piso de madeira - Linha Residencial</t>
  </si>
  <si>
    <t>Piso em taco de madeira - Linha Residencial</t>
  </si>
  <si>
    <t>Piso de borracha antiderrapante tipo moeda</t>
  </si>
  <si>
    <t>Piso sintético flutuante - Linha Residencial</t>
  </si>
  <si>
    <t>Revestimento acústico perfilado - Linha Administrativa</t>
  </si>
  <si>
    <t>Revestimento acústico plano - Linha Administrativa</t>
  </si>
  <si>
    <t>Forro monolítico de gesso em placas</t>
  </si>
  <si>
    <t>Textura acrílica - Linha Administrativa</t>
  </si>
  <si>
    <t>Pintura com tinta látex acrílica Premium - cores especiais (sistema tintométrico)</t>
  </si>
  <si>
    <t>Pintura Eletrostática</t>
  </si>
  <si>
    <t>Pintura com tinta acrílica (pisos)</t>
  </si>
  <si>
    <t>Pintura com tinta epóxi de alto desempenho (pisos)</t>
  </si>
  <si>
    <t>Verniz de poliuretano sobre pintura epóxi de alto desempenho</t>
  </si>
  <si>
    <t>Tratamento antiderrapante em verniz de poliuretano sobre pintura epóxi</t>
  </si>
  <si>
    <t>Pintura para superfícies galvanizadas</t>
  </si>
  <si>
    <t>Selagem ou resselagem de juntas em pavimentação de concreto armado</t>
  </si>
  <si>
    <t>Pavimentação em elementos intertravados de concreto</t>
  </si>
  <si>
    <t>Pavimentação com Asfalto Pré-Misturado a Frio (PMF)</t>
  </si>
  <si>
    <t>Pavimentação asfáltica com CBUQ para aplicação a frio (remendo)</t>
  </si>
  <si>
    <t>Pintura para sinalização e demarcação viária horizontal</t>
  </si>
  <si>
    <t>Telha metálica trapezoidal galvanizada - GR-40</t>
  </si>
  <si>
    <t>Cumeeira para telha metálica trapezoidal galvanizada - GR-40</t>
  </si>
  <si>
    <t>Telha metálica trapezoidal galvanizada - GR-25</t>
  </si>
  <si>
    <t>Cumeeira para telha metálica trapezoidal galvanizada - GR-25</t>
  </si>
  <si>
    <t>Telha de fibrocimento modulada - espessura 8mm</t>
  </si>
  <si>
    <t>Cumeeira articulada ABA SUPERIOR de fibrocimento para telha modulada - espessura 6 mm</t>
  </si>
  <si>
    <t>Cumeeira articulada ABA INFERIOR de fibrocimento para telha modulada - espessura 6 mm</t>
  </si>
  <si>
    <t>Telha de fibrocimento ondulada - espessura 6mm</t>
  </si>
  <si>
    <t>Cumeeira UNIVERSAL para telha de fibrocimento ondulada - espessura 6 mm</t>
  </si>
  <si>
    <t>Cumeeira TIPO SHED para telha de fibrocimento ondulada - espessura 6 mm</t>
  </si>
  <si>
    <t>Telha de fibrocimento - Canalete 49 Eternit</t>
  </si>
  <si>
    <t>SF-01144</t>
  </si>
  <si>
    <t>Passarela móvel para telhado (sem degraus)</t>
  </si>
  <si>
    <t>SF-01145</t>
  </si>
  <si>
    <t>Passarela móvel para telhado (com degraus)</t>
  </si>
  <si>
    <t>SF-01146</t>
  </si>
  <si>
    <t>Locação de guincho elétrico de coluna</t>
  </si>
  <si>
    <t>Escada tipo marinheiro COM proteção</t>
  </si>
  <si>
    <t>Escada tipo marinheiro SEM proteção</t>
  </si>
  <si>
    <t>Limpeza e Preparação do Substrato para Impermeabilização</t>
  </si>
  <si>
    <t>Substituição de Coletores de Águas Pluviais</t>
  </si>
  <si>
    <t>Tratamento de Tubulação Passante para Impermeabilização</t>
  </si>
  <si>
    <t>Regularização de substrato para Impermeabilização - 3cm</t>
  </si>
  <si>
    <t>Regularização de substrato para Impermeabilização - 6cm</t>
  </si>
  <si>
    <t>Camada Separadora para Impermeabilização</t>
  </si>
  <si>
    <t>Camada de Proteção Térmica para Impermeabilização</t>
  </si>
  <si>
    <t>Camada de Amortecimento para Impermeabilização</t>
  </si>
  <si>
    <t>Camada de Proteção Mecânica em Placas de Impermeabilização</t>
  </si>
  <si>
    <t>Pintura Inibidora de Raízes em Estrutura Impermeabilizada</t>
  </si>
  <si>
    <t>Camada Drenante para Impermeabilização</t>
  </si>
  <si>
    <t>Calha em Chapa de Aço Galvanizado nº 24</t>
  </si>
  <si>
    <t>Rufo em Chapa de Aço Galvanizado nº 24</t>
  </si>
  <si>
    <t>SF-01162</t>
  </si>
  <si>
    <t>Resina de Poliuretano para Estrutura de Concreto</t>
  </si>
  <si>
    <t>Chapim Pré-Moldado de Concreto Aparente</t>
  </si>
  <si>
    <t>Armação em tela de aço soldado nervurada</t>
  </si>
  <si>
    <t>Trama de aço composta por terças para telhados de até 2 águas</t>
  </si>
  <si>
    <t>Revestimento impermeabilizante bloqueador de umidade</t>
  </si>
  <si>
    <t>Pintura com tinta refletiva aluminizada para impermeabilização</t>
  </si>
  <si>
    <t>Concreto leve com poliestireno expandido</t>
  </si>
  <si>
    <t>Colagem da camada de proteção térmica de impermeabilização</t>
  </si>
  <si>
    <t>Impermeabilização com Membrana de Poliuretano</t>
  </si>
  <si>
    <t>Impermeabilização com Manta Asfáltica</t>
  </si>
  <si>
    <t>Impermeabilização com manta asfáltica aluminizada</t>
  </si>
  <si>
    <t>Impermeabilização com manta elastomérica de etileno-propileno-dieno-monômero (EPDM)</t>
  </si>
  <si>
    <t>Impermeabilização com membrana acrílica</t>
  </si>
  <si>
    <t>Asfalto elastomérico para colagem de manta asfáltica</t>
  </si>
  <si>
    <t>Impermeabilização com manta dupla (com maçarico)</t>
  </si>
  <si>
    <t>Impermeabilização com manta dupla (com asfalto elastomérico)</t>
  </si>
  <si>
    <t>SF-01178</t>
  </si>
  <si>
    <t>Fibra de Polipropileno</t>
  </si>
  <si>
    <t>Aditivo Incorporador de Ar</t>
  </si>
  <si>
    <t>Brita Nº 2</t>
  </si>
  <si>
    <t>SF-01181</t>
  </si>
  <si>
    <t>Parafusos para fixação de telhas ou chapas</t>
  </si>
  <si>
    <t>SF-01182</t>
  </si>
  <si>
    <t>Pino para fixação e acessórios de telha de fibrocimento modulada</t>
  </si>
  <si>
    <t>SF-01183</t>
  </si>
  <si>
    <t>Rebite de Repuxo de 3.2 x 8 mm</t>
  </si>
  <si>
    <t>SF-01184</t>
  </si>
  <si>
    <t>Calha em chapa de zinco # 24 - Modelo 1</t>
  </si>
  <si>
    <t>SF-01185</t>
  </si>
  <si>
    <t>Calha em chapa de zinco # 24 - Modelo 2</t>
  </si>
  <si>
    <t>SF-01186</t>
  </si>
  <si>
    <t>Chave de fenda de 3/8" x 10"</t>
  </si>
  <si>
    <t>SF-01187</t>
  </si>
  <si>
    <t>Chave de fenda de 5/16" x 8"</t>
  </si>
  <si>
    <t>SF-01188</t>
  </si>
  <si>
    <t>Chave de fenda de 1/8" x 3"</t>
  </si>
  <si>
    <t>SF-01189</t>
  </si>
  <si>
    <t>Chave Philips PH2 3/16" x 4"</t>
  </si>
  <si>
    <t>SF-01190</t>
  </si>
  <si>
    <t>Chave Philips PH2 3/16" x 5"</t>
  </si>
  <si>
    <t>SF-01191</t>
  </si>
  <si>
    <t>Conjunto de cavadeiras (grande e pequena)</t>
  </si>
  <si>
    <t>SF-01192</t>
  </si>
  <si>
    <t>Conjunto de chaves allen CURTAS</t>
  </si>
  <si>
    <t>SF-01193</t>
  </si>
  <si>
    <t>Conjunto de chaves allen LONGAS</t>
  </si>
  <si>
    <t>SF-01194</t>
  </si>
  <si>
    <t>Conjunto de chaves de boca de 6 a 36 mm</t>
  </si>
  <si>
    <t>SF-01195</t>
  </si>
  <si>
    <t>Conjunto de chaves de boca de 1/4" a 1 1/2"</t>
  </si>
  <si>
    <t>SF-01196</t>
  </si>
  <si>
    <t>Conjunto de escovas de aço (pequena, média e grande)</t>
  </si>
  <si>
    <t>SF-01197</t>
  </si>
  <si>
    <t>Marreta de 2 kg</t>
  </si>
  <si>
    <t>SF-01198</t>
  </si>
  <si>
    <t>Marreta de 5 kg</t>
  </si>
  <si>
    <t>SF-01199</t>
  </si>
  <si>
    <t>Marreta de 10 kg</t>
  </si>
  <si>
    <t>SF-01200</t>
  </si>
  <si>
    <t>Conjunto Pé de cabra 15" x 16mm e 24" x 19mm</t>
  </si>
  <si>
    <t>SF-01201</t>
  </si>
  <si>
    <t>Conjunto de talhadeiras e ponteiro SIMPLES</t>
  </si>
  <si>
    <t>SF-01202</t>
  </si>
  <si>
    <t>Serra copo diamantada (conjunto de 1/2" a 1 1/2")</t>
  </si>
  <si>
    <t>SF-01203</t>
  </si>
  <si>
    <t>Cortadora de Piso a Gasolina</t>
  </si>
  <si>
    <t>SF-01204</t>
  </si>
  <si>
    <t>Cortadora de Parede</t>
  </si>
  <si>
    <t>SF-01205</t>
  </si>
  <si>
    <t>Enxada com cabo (2,5 libras)</t>
  </si>
  <si>
    <t>SF-01206</t>
  </si>
  <si>
    <t>Escada extensível de alumínio dupla 2x8</t>
  </si>
  <si>
    <t>SF-01207</t>
  </si>
  <si>
    <t>Escada extensível de alumínio dupla 2x12</t>
  </si>
  <si>
    <t>SF-01208</t>
  </si>
  <si>
    <t>Escada tipo tesoura duplo acesso de fibra com 12 degraus</t>
  </si>
  <si>
    <t>SF-01209</t>
  </si>
  <si>
    <t>Exaustor para Trabalho em Espaço Confinado</t>
  </si>
  <si>
    <t>SF-01210</t>
  </si>
  <si>
    <t>Furadeira/Parafusadeira elétrica</t>
  </si>
  <si>
    <t>SF-01211</t>
  </si>
  <si>
    <t>Furadeira de impacto/parafusadeira à bateria</t>
  </si>
  <si>
    <t>SF-01212</t>
  </si>
  <si>
    <t>Jogo de Bits pontas e soquetes para Furadeira/ Parafusadeira</t>
  </si>
  <si>
    <t>SF-01213</t>
  </si>
  <si>
    <t>Jogo de chaves Torx com 9 Peças</t>
  </si>
  <si>
    <t>SF-01214</t>
  </si>
  <si>
    <t>Mangueira de nível de 20m</t>
  </si>
  <si>
    <t>SF-01215</t>
  </si>
  <si>
    <t>Martelete demolidor 1kW (5 Kg)</t>
  </si>
  <si>
    <t>SF-01216</t>
  </si>
  <si>
    <t>Pistola aplicadora de silicone e PU</t>
  </si>
  <si>
    <t>SF-01217</t>
  </si>
  <si>
    <t>Serra mármore</t>
  </si>
  <si>
    <t>SF-01218</t>
  </si>
  <si>
    <t>Serrote para gesso</t>
  </si>
  <si>
    <t>SF-01219</t>
  </si>
  <si>
    <t>Talha Manual para Elevação de Cargas (2 ton)</t>
  </si>
  <si>
    <t>SF-01220</t>
  </si>
  <si>
    <t>Veículo do tipo utilitário para transporte de mercadorias</t>
  </si>
  <si>
    <t>SF-01221</t>
  </si>
  <si>
    <t>Plataforma de trabalho aéreo - em ambiente interno</t>
  </si>
  <si>
    <t>SF-01222</t>
  </si>
  <si>
    <t>Dispositivo Individual Móvel de Proteção Contra Queda</t>
  </si>
  <si>
    <t>SF-01223</t>
  </si>
  <si>
    <t>Sondagem - Perfuração adicional de furo</t>
  </si>
  <si>
    <t>SF-01224</t>
  </si>
  <si>
    <t>Lavadora de alta pressão</t>
  </si>
  <si>
    <t>SF-01225</t>
  </si>
  <si>
    <t>Manta autocolante aluminizada</t>
  </si>
  <si>
    <t>SF-01226</t>
  </si>
  <si>
    <t>Primer para aplicação de manta autocolante aluminizada</t>
  </si>
  <si>
    <t>SF-01227</t>
  </si>
  <si>
    <t>Estudo de Viabilidade Técnica, Laudo Técnico, Projeto Executivo, Projeto de Segurança do Trabalho, Planejamento da Obra e Plano de Manutenção – Modernização de Elevadores na SQS309</t>
  </si>
  <si>
    <t>SF-01228</t>
  </si>
  <si>
    <t>Serviços Preliminares (instalação de canteiro, mobilização de equipamentos e mão de obra e substituição de infraestrutura elétrica nos Blocos C e G) – Modernização de Elevadores na SQS309</t>
  </si>
  <si>
    <t>SF-01229</t>
  </si>
  <si>
    <t>Substituição de infraestrutura elétrica no Bloco D – Modernização de Elevadores na SQS309</t>
  </si>
  <si>
    <t>SF-01230</t>
  </si>
  <si>
    <t>Modernização dos elevadores dos Blocos C, D e G da SQS 309</t>
  </si>
  <si>
    <t>SF-01231</t>
  </si>
  <si>
    <t>Serviços de Assistência Técnica – Modernização de Elevadores na SQS309</t>
  </si>
  <si>
    <t>Carpete aveludado azul royal - fornecimento e instalação</t>
  </si>
  <si>
    <t>Demolição de revestimento de piso têxtil (carpete)</t>
  </si>
  <si>
    <t>SF-01234</t>
  </si>
  <si>
    <t>Tapume/cortina de proteção para solda com suporte</t>
  </si>
  <si>
    <t>BENEFÍCIOS E DESPESAS INDIRETAS - BDI</t>
  </si>
  <si>
    <t>BDI Edificações</t>
  </si>
  <si>
    <t>BDI mero fornecimento</t>
  </si>
  <si>
    <t>Componentes do BDI</t>
  </si>
  <si>
    <t>Cálculo sem CPRB</t>
  </si>
  <si>
    <t>não-desonerado</t>
  </si>
  <si>
    <t>% considerado</t>
  </si>
  <si>
    <t>AC</t>
  </si>
  <si>
    <t>S+G</t>
  </si>
  <si>
    <t>R</t>
  </si>
  <si>
    <t>DF</t>
  </si>
  <si>
    <t>PIS</t>
  </si>
  <si>
    <t>COFINS</t>
  </si>
  <si>
    <t>CPRB</t>
  </si>
  <si>
    <t>ISS</t>
  </si>
  <si>
    <r>
      <t xml:space="preserve">Fontes: </t>
    </r>
    <r>
      <rPr>
        <sz val="12"/>
        <rFont val="Arial"/>
        <family val="2"/>
      </rPr>
      <t>Acórdãos 2.369/2011-TCU-Plenário e 2.622/2013-TCU-Plenário.</t>
    </r>
  </si>
  <si>
    <t>CUSTO DIRETO TOTAL</t>
  </si>
  <si>
    <t>ESCAVADEIRA HIDRÁULICA SOBRE ESTEIRAS, CAÇAMBA 0,80 M3, PESO OPERACIONAL 17 T, POTENCIA BRUTA 111 HP - CHP DIURNO. AF_06/2014</t>
  </si>
  <si>
    <t>RETROESCAVADEIRA SOBRE RODAS COM CARREGADEIRA, TRAÇÃO 4X4, POTÊNCIA LÍQ. 88 HP, CAÇAMBA CARREG. CAP. MÍN. 1 M3, CAÇAMBA RETRO CAP. 0,26 M3, PESO OPERACIONAL MÍN. 6.674 KG, PROFUNDIDADE ESCAVAÇÃO MÁX. 4,37 M - CHP DIURNO. AF_06/2014</t>
  </si>
  <si>
    <t>GUINDAUTO HIDRÁULICO, CAPACIDADE MÁXIMA DE CARGA 6200 KG, MOMENTO MÁXIMO DE CARGA 11,7 TM, ALCANCE MÁXIMO HORIZONTAL 9,70 M, INCLUSIVE CAMINHÃO TOCO PBT 16.000 KG, POTÊNCIA DE 189 CV - CHP DIURNO. AF_06/2014</t>
  </si>
  <si>
    <t>PÁ CARREGADEIRA SOBRE RODAS, POTÊNCIA LÍQUIDA 128 HP, CAPACIDADE DA CAÇAMBA 1,7 A 2,8 M3, PESO OPERACIONAL 11632 KG - CHP DIURNO. AF_06/2014</t>
  </si>
  <si>
    <t>DESEMPENADEIRA DE CONCRETO, PESO DE 75KG, 4 PÁS, MOTOR A GASOLINA, POTÊNCIA 5,5 HP - CHP DIURNO. AF_09/2016</t>
  </si>
  <si>
    <t>ESCAVADEIRA HIDRÁULICA SOBRE ESTEIRAS, CAÇAMBA 0,80 M3, PESO OPERACIONAL 17 T, POTENCIA BRUTA 111 HP - CHI DIURNO. AF_06/2014</t>
  </si>
  <si>
    <t>RETROESCAVADEIRA SOBRE RODAS COM CARREGADEIRA, TRAÇÃO 4X4, POTÊNCIA LÍQ. 88 HP, CAÇAMBA CARREG. CAP. MÍN. 1 M3, CAÇAMBA RETRO CAP. 0,26 M3, PESO OPERACIONAL MÍN. 6.674 KG, PROFUNDIDADE ESCAVAÇÃO MÁX. 4,37 M - CHI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</si>
  <si>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</si>
  <si>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CHI DIURNO. AF_06/2014</t>
  </si>
  <si>
    <t>FABRICAÇÃO DE FÔRMA PARA PILARES E ESTRUTURAS SIMILARES, EM MADEIRA SERRADA, E=25 MM. AF_12/2015</t>
  </si>
  <si>
    <t>MONTAGEM E DESMONTAGEM DE FÔRMA DE PILARES RETANGULARES E ESTRUTURAS SIMILARES COM ÁREA MÉDIA DAS SEÇÕES MAIOR QUE 0,25 M², PÉ-DIREITO SIMPLES, EM MADEIRA SERRADA, 2 UTILIZAÇÕES. AF_12/2015</t>
  </si>
  <si>
    <t>ALVENARIA DE VEDAÇÃO DE BLOCOS VAZADOS DE CONCRETO DE 9X19X39CM (ESPESSURA 9CM) DE PAREDES COM ÁREA LÍQUIDA MENOR QUE 6M² SEM VÃOS E ARGAMASSA DE ASSENTAMENTO COM PREPARO EM BETONEIRA. AF_06/2014</t>
  </si>
  <si>
    <t>CHAPISCO APLICADO EM ALVENARIAS E ESTRUTURAS DE CONCRETO INTERNAS, COM COLHER DE PEDREIRO.  ARGAMASSA TRAÇO 1:3 COM PREPARO EM BETONEIRA 400L. AF_06/2014</t>
  </si>
  <si>
    <t>EMBOÇO, PARA RECEBIMENTO DE CERÂMICA, EM ARGAMASSA TRAÇO 1:2:8, PREPARO MECÂNICO COM BETONEIRA 400L, APLICADO MANUALMENTE EM FACES INTERNAS DE PAREDES, PARA AMBIENTE COM ÁREA MENOR QUE 5M2, ESPESSURA DE 10MM, COM EXECUÇÃO DE TALISCAS. AF_06/2014</t>
  </si>
  <si>
    <t>ARGAMASSA TRAÇO 1:3 (EM VOLUME DE CIMENTO E AREIA MÉDIA ÚMIDA) PARA CONTRAPISO, PREPARO MECÂNICO COM BETONEIRA 400 L. AF_08/2019</t>
  </si>
  <si>
    <t>ARGAMASSA TRAÇO 1:3 (EM VOLUME DE CIMENTO E AREIA GROSSA ÚMIDA) PARA CHAPISCO CONVENCIONAL, PREPARO MECÂNICO COM BETONEIRA 400 L. AF_08/2019</t>
  </si>
  <si>
    <t>ARGAMASSA TRAÇO 1:1:6 (EM VOLUME DE CIMENTO, CAL E AREIA MÉDIA ÚMIDA) PARA EMBOÇO/MASSA ÚNICA/ASSENTAMENTO DE ALVENARIA DE VEDAÇÃO, PREPARO MANUAL. AF_08/2019</t>
  </si>
  <si>
    <t>ASSENTADOR DE TUBOS COM ENCARGOS COMPLEMENTARES</t>
  </si>
  <si>
    <t>AUXILIAR DE TOPÓGRAFO COM ENCARGOS COMPLEMENTARES</t>
  </si>
  <si>
    <t>MARMORISTA/GRANITEIRO COM ENCARGOS COMPLEMENTARES</t>
  </si>
  <si>
    <t>SOLDADOR COM ENCARGOS COMPLEMENTARES</t>
  </si>
  <si>
    <t>DESENHISTA PROJETISTA COM ENCARGOS COMPLEMENTARES</t>
  </si>
  <si>
    <t>TOPOGRAFO COM ENCARGOS COMPLEMENTARES</t>
  </si>
  <si>
    <t>ADESIVO ESTRUTURAL A BASE DE RESINA EPOXI, BICOMPONENTE, FLUIDO</t>
  </si>
  <si>
    <t>ADESIVO PARA TUBOS CPVC, *75* G</t>
  </si>
  <si>
    <t>ARAME GALVANIZADO 16 BWG, D = 1,65MM (0,0166 KG/M)</t>
  </si>
  <si>
    <t>BATENTE/ PORTAL/ ADUELA/ MARCO MACICO, E= *3* CM, L= *13* CM, *60 CM A 120* CM X *210* CM, EM PINUS/ TAUARI/ VIROLA OU EQUIVALENTE DA REGIAO (NAO INCLUI ALIZARES)</t>
  </si>
  <si>
    <t>CAIBRO DE MADEIRA NAO APARELHADA 5 X 5 CM, CEDRINHO OU EQUIVALENTE DA REGIAO</t>
  </si>
  <si>
    <t>CAIXA DE PASSAGEM METALICA DE SOBREPOR COM TAMPA PARAFUSADA, DIMENSOES 30 X 30 X 10 CM</t>
  </si>
  <si>
    <t>CANTONEIRA ALUMINIO ABAS IGUAIS 1 ", E = 3 /16 "</t>
  </si>
  <si>
    <t>CHAPA DE ACO GALVANIZADA BITOLA GSG 16, E = 1,55 MM (12,40 KG/M2)</t>
  </si>
  <si>
    <t>CHAPA DE LAMINADO MELAMINICO, TEXTURIZADO, DE *1,25 X 3,08* M, E = 0,8 MM</t>
  </si>
  <si>
    <t>CHAPA DE MADEIRA COMPENSADA PLASTIFICADA PARA FORMA DE CONCRETO, DE 2,20 x 1,10 M, E = 18 MM</t>
  </si>
  <si>
    <t>CHAPA DE MDF BRANCO LISO 1 FACE, E = 6 MM, DE *2,75 X 1,85* M</t>
  </si>
  <si>
    <t>CHAPA DE MDF BRANCO LISO 2 FACES, E = 15 MM, DE *2,75 X 1,85* M</t>
  </si>
  <si>
    <t>CHAPA DE MDF BRANCO LISO 2 FACES, E = 18 MM, DE *2,75 X 1,85* M</t>
  </si>
  <si>
    <t>CONCRETO USINADO BOMBEAVEL, CLASSE DE RESISTENCIA C20, COM BRITA 0 E 1, SLUMP = 100 +/- 20 MM, EXCLUI SERVICO DE BOMBEAMENTO (NBR 8953)</t>
  </si>
  <si>
    <t>DOBRADICA EM ACO/FERRO, 3 1/2" X  3", E= 1,9  A 2 MM, COM ANEL,  CROMADO OU ZINCADO, TAMPA BOLA, COM PARAFUSOS</t>
  </si>
  <si>
    <t>ELETRODUTO/DUTO PEAD FLEXIVEL PAREDE SIMPLES, CORRUGACAO HELICOIDAL, COR PRETA, SEM ROSCA, DE 2",  PARA CABEAMENTO SUBTERRANEO (NBR 15715)</t>
  </si>
  <si>
    <t>ENDURECEDOR MINERAL DE BASE CIMENTICIA PARA PISO DE CONCRETO</t>
  </si>
  <si>
    <t>FECHADURA DE EMBUTIR PARA PORTA DE BANHEIRO, TIPO TRANQUETA, MAQUINA 40 MM, MACANETAS ALAVANCA, ESPELHO EM METAL CROMADO - NIVEL SEGURANCA MEDIO - COMPLETA</t>
  </si>
  <si>
    <t>FECHADURA DE EMBUTIR PARA PORTA EXTERNA, MAQUINA 40 MM, COM CILINDRO, MACANETA ALAVANCA E ROSETA REDONDA EM METAL CROMADO - NIVEL DE SEGURANCA MEDIO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</si>
  <si>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</si>
  <si>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</si>
  <si>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GRANILHA/ GRANA/ PEDRISCO OU AGREGADO EM MARMORE/ GRANITO/ QUARTZO E CALCARIO, PRETO, CINZA, PALHA OU BRANCO</t>
  </si>
  <si>
    <t>GRANITO PARA BANCADA, POLIDO, TIPO ANDORINHA/ QUARTZ/ CASTELO/ CORUMBA OU OUTROS EQUIVALENTES DA REGIAO, E=  *2,5* CM</t>
  </si>
  <si>
    <t>GUARNICAO/ ALIZAR/ VISTA MACICA, E= *1* CM, L= *4,5* CM, EM CEDRINHO/ ANGELIM COMERCIAL/  EUCALIPTO/ CURUPIXA/ PEROBA/ CUMARU OU EQUIVALENTE DA REGIAO</t>
  </si>
  <si>
    <t>LAMPADA FLUORESCENTE COMPACTA 2U BRANCA 15 W, BASE E27 (127/220 V)</t>
  </si>
  <si>
    <t>LUMINARIA PLAFON REDONDO COM VIDRO FOSCO DIAMETRO *30* CM, PARA 2 LAMPADAS, BASE E27, POTENCIA MAXIMA 40/60 W (NAO INCLUI LAMPADAS)</t>
  </si>
  <si>
    <t>MASSA PLASTICA PARA MARMORE/GRANITO</t>
  </si>
  <si>
    <t>PINO DE ACO COM FURO, HASTE = 27 MM (ACAO DIRETA)</t>
  </si>
  <si>
    <t>PISO DE BORRACHA PASTILHADO EM PLACAS 50 X 50 CM, E = *3,5* MM, PARA COLA, PRETO</t>
  </si>
  <si>
    <t>PREGO DE ACO POLIDO COM CABECA DUPLA 17 X 27 (2 1/2 X 11)</t>
  </si>
  <si>
    <t>PREGO DE ACO POLIDO SEM CABECA 15 X 15 (1 1/4 X 13)</t>
  </si>
  <si>
    <t>PULSADOR CAMPAINHA 10A, 250V (APENAS MODULO)</t>
  </si>
  <si>
    <t>REDUTOR TIPO THINNER PARA ACABAMENTO</t>
  </si>
  <si>
    <t>RODAPE DE MADEIRA MACICA CUMARU/IPE CHAMPANHE OU EQUIVALENTE DA REGIAO, *1,5 X 7 CM</t>
  </si>
  <si>
    <t>SUPORTE MAO-FRANCESA EM ACO, ABAS IGUAIS 40 CM, CAPACIDADE MINIMA 70 KG, BRANCO</t>
  </si>
  <si>
    <t>TAMPAO FOFO ARTICULADO, CLASSE D400 CARGA MAX 40 T, REDONDO TAMPA *600 MM, REDE PLUVIAL/ESGOTO</t>
  </si>
  <si>
    <t>TE MISTURADOR DE TRANSICAO, CPVC, COM ROSCA, 22 MM X 3/4", PARA AGUA QUENTE</t>
  </si>
  <si>
    <t>TELA DE ACO SOLDADA GALVANIZADA/ZINCADA PARA ALVENARIA, FIO D = *1,20 A 1,70* MM, MALHA 15 X 15 MM, (C X L) *50 X 7,5* CM</t>
  </si>
  <si>
    <t>TELA DE ARAME GALVANIZADA QUADRANGULAR / LOSANGULAR, FIO 2,77 MM (12 BWG), MALHA 5 X 5 CM, H = 2 M</t>
  </si>
  <si>
    <t>TELA EM METAL PARA ESTUQUE (DEPLOYE)</t>
  </si>
  <si>
    <t>TELA PLASTICA LARANJA, TIPO TAPUME PARA SINALIZACAO, MALHA RETANGULAR, ROLO 1.20 X 50 M (L X C)</t>
  </si>
  <si>
    <t>TELHA TRAPEZOIDAL EM ACO ZINCADO, SEM PINTURA, ALTURA DE APROXIMADAMENTE 40 MM, ESPESSURA DE 0,50 MM E LARGURA UTIL DE 980 MM</t>
  </si>
  <si>
    <t>TUBO ACO CARBONO SEM COSTURA 8", E= *8,18 MM, SCHEDULE 40, *42,55 KG/M</t>
  </si>
  <si>
    <t>TUBO CPVC, SOLDAVEL, 22 MM, AGUA QUENTE PREDIAL (NBR 15884)</t>
  </si>
  <si>
    <t>TUBO CPVC, SOLDAVEL, 28 MM, AGUA QUENTE PREDIAL (NBR 15884)</t>
  </si>
  <si>
    <t>TUBO MULTICAMADA PEX, DN *26* MM, PARA INSTALACOES A GAS (AMARELO)</t>
  </si>
  <si>
    <t>TUBO MULTICAMADA PEX, DN 20 MM, PARA INSTALACOES A GAS (AMARELO)</t>
  </si>
  <si>
    <t>VEU POLIESTER</t>
  </si>
  <si>
    <t>Obs: considerando rendimento informado na especificação técnica de um dos produtos indicados como referência comercial (Lata de 3,6L rende até 75 m²/demão).</t>
  </si>
  <si>
    <t>Obs: considerando rendimento informado na especificação técnica de produto equivalente da Suvinil (Lata de 3,6L rende até 100 m²/demão).</t>
  </si>
  <si>
    <t>Alicate torquês de 8"</t>
  </si>
  <si>
    <t>SF-01235</t>
  </si>
  <si>
    <t>SF-01236</t>
  </si>
  <si>
    <t>SF-01237</t>
  </si>
  <si>
    <t>SF-01238</t>
  </si>
  <si>
    <t>SF-01239</t>
  </si>
  <si>
    <t>SF-01240</t>
  </si>
  <si>
    <t>SF-01241</t>
  </si>
  <si>
    <t>SF-01242</t>
  </si>
  <si>
    <t>SF-01243</t>
  </si>
  <si>
    <t>SF-01244</t>
  </si>
  <si>
    <t>SF-01245</t>
  </si>
  <si>
    <t>SF-01246</t>
  </si>
  <si>
    <t>SF-01247</t>
  </si>
  <si>
    <t>SF-01248</t>
  </si>
  <si>
    <t>SF-01249</t>
  </si>
  <si>
    <t>SF-01250</t>
  </si>
  <si>
    <t>SF-01251</t>
  </si>
  <si>
    <t>SF-01252</t>
  </si>
  <si>
    <t>SF-01253</t>
  </si>
  <si>
    <t>SF-01254</t>
  </si>
  <si>
    <t>SF-01255</t>
  </si>
  <si>
    <t>SF-01256</t>
  </si>
  <si>
    <t>SF-01257</t>
  </si>
  <si>
    <t>SF-01258</t>
  </si>
  <si>
    <t>SF-01259</t>
  </si>
  <si>
    <t>SF-01260</t>
  </si>
  <si>
    <t>SF-01261</t>
  </si>
  <si>
    <t>SF-01262</t>
  </si>
  <si>
    <t>SF-01263</t>
  </si>
  <si>
    <t>SF-01264</t>
  </si>
  <si>
    <t>SF-01265</t>
  </si>
  <si>
    <t>SF-01266</t>
  </si>
  <si>
    <t>SF-01267</t>
  </si>
  <si>
    <t>SF-01268</t>
  </si>
  <si>
    <t>SF-01269</t>
  </si>
  <si>
    <t>SF-01270</t>
  </si>
  <si>
    <t>SF-01271</t>
  </si>
  <si>
    <t>SF-01272</t>
  </si>
  <si>
    <t>SF-01273</t>
  </si>
  <si>
    <t>SF-01274</t>
  </si>
  <si>
    <t>SF-01275</t>
  </si>
  <si>
    <t>SF-01276</t>
  </si>
  <si>
    <t>SF-01277</t>
  </si>
  <si>
    <t>SF-01278</t>
  </si>
  <si>
    <t>SF-01279</t>
  </si>
  <si>
    <t>SF-01280</t>
  </si>
  <si>
    <t>SF-01281</t>
  </si>
  <si>
    <t>SF-01282</t>
  </si>
  <si>
    <t>SF-01283</t>
  </si>
  <si>
    <t>SF-01284</t>
  </si>
  <si>
    <t>SF-01285</t>
  </si>
  <si>
    <t>SF-01286</t>
  </si>
  <si>
    <t>SF-01287</t>
  </si>
  <si>
    <t>SF-01288</t>
  </si>
  <si>
    <t>SF-01289</t>
  </si>
  <si>
    <t>SF-01290</t>
  </si>
  <si>
    <t>SF-01291</t>
  </si>
  <si>
    <t>Bancada em granito cinza andorinha polido - 2,40 m x 0,60 m</t>
  </si>
  <si>
    <t>Bancada em granito cinza andorinha polido - 2,50 m x 0,60 m</t>
  </si>
  <si>
    <t>Pedido de autorização ambiental para desativação do posto de combustíveis</t>
  </si>
  <si>
    <t>Relatório de Investigação de Passivo Ambiental - RIPA</t>
  </si>
  <si>
    <t>Remoção do Sistema de Abastecimento Subterrâneo de Combustíveis - SASC</t>
  </si>
  <si>
    <t>Batedor/limitador inferior para box de correr</t>
  </si>
  <si>
    <t>Batedor/amortecedor lateral para box de correr</t>
  </si>
  <si>
    <t>Batedor/limitador superior para box de correr</t>
  </si>
  <si>
    <t>Perfil cadeirinha em alumínio com encaixe para escova de vedação para vidro temperado 8mm</t>
  </si>
  <si>
    <t>Perfil em alumínio para acabamento de trilho superior - Vidro temperado 8mm</t>
  </si>
  <si>
    <t>Capa do Perfil Guia Inferior “Click” - Vidro temperado 8mm</t>
  </si>
  <si>
    <t>Perfil guia inferior de alumínio para porta de giro em vidro temperado 8mm</t>
  </si>
  <si>
    <t>Perfil guia inferior de alumínio para porta de correr em vidro temperado 8mm</t>
  </si>
  <si>
    <t>Trilho superior em alumínio 53,8mm x 49,6mm, para vidro temperado</t>
  </si>
  <si>
    <t>Perfil em alumínio, tipo U - 10,5 x 20mm - para box de vidro temperado 8mm</t>
  </si>
  <si>
    <t>Perfil em alumínio , tipo U –  14 x 20mm - para box de vidro temperado 8mm</t>
  </si>
  <si>
    <t>Bacia convencional – Linha Residencial</t>
  </si>
  <si>
    <t>Bidê 3 furos - Linha Residencial</t>
  </si>
  <si>
    <t>Divisória de Vidro temperado para box de CORRER e ferragens – Linha Residencial</t>
  </si>
  <si>
    <t>Divisória de Vidro temperado para box com porta de GIRO e ferragens – Linha Residencial</t>
  </si>
  <si>
    <t>Chuveiro de metal com tubo de parede – Linha Residencial</t>
  </si>
  <si>
    <t>Misturador para bidê – Linha Residencial</t>
  </si>
  <si>
    <t>Misturador de mesa para cozinha bica móvel – Linha Residencial</t>
  </si>
  <si>
    <t>Misturador de mesa para lavatório bica alta – Linha Residencial</t>
  </si>
  <si>
    <t>Misturador de parede para cozinha bica móvel – Linha Residencial</t>
  </si>
  <si>
    <t>Dobradiça automática vidro/vidro para box de vidro temperado</t>
  </si>
  <si>
    <t>Luminária tipo arandela – Linha Residencial</t>
  </si>
  <si>
    <t>Tê misturador de transição 1/2” ou 3/4” – Linha Residencial</t>
  </si>
  <si>
    <t>Base para válvula de descarga 1 1/2”</t>
  </si>
  <si>
    <t>Base para válvula de descarga 1 1/4”</t>
  </si>
  <si>
    <t>Anel de Vedação para bacia sanitária</t>
  </si>
  <si>
    <t>Remoção de boiler</t>
  </si>
  <si>
    <t>Remoção de tacos de madeira</t>
  </si>
  <si>
    <t>Cerâmica 30x60cm - Glacier White - Portobello – Linha Residencial</t>
  </si>
  <si>
    <t>Instalação de tacos de madeira reaproveitados</t>
  </si>
  <si>
    <t>Cortina de linho sintético / BLECAUTE COM VARÃO – Linha Residencial</t>
  </si>
  <si>
    <t>Cortina de linho sintético / BLECAUTE SEM VARÃO – Linha Residencial</t>
  </si>
  <si>
    <t>Cortina de linho sintético / FORRO COM VARÃO – Linha Residencial</t>
  </si>
  <si>
    <t>Cortina de linho sintético / FORRO SEM VARÃO – Linha Residencial</t>
  </si>
  <si>
    <t>Instalação de cortinas reaproveitadas</t>
  </si>
  <si>
    <t>Tubo CPVC soldável 22mm – Linha Residencial</t>
  </si>
  <si>
    <t>Tubo CPVC soldável 28mm – Linha Residencial</t>
  </si>
  <si>
    <t>Instalação de bidê reaproveitado</t>
  </si>
  <si>
    <t>Aquecedor elétrico para pia – Linha Residencial</t>
  </si>
  <si>
    <t>Chuveiro elétrico – Linha Residencial</t>
  </si>
  <si>
    <t>Instalação de boiler reaproveitado</t>
  </si>
  <si>
    <t>Prateleira – Linha Residencial</t>
  </si>
  <si>
    <t>Saboneteira – Linha Residencial</t>
  </si>
  <si>
    <t>Módulo campainha eletrônica – Linha Residencial</t>
  </si>
  <si>
    <t>Módulo pulsador – Linha Residencial</t>
  </si>
  <si>
    <t>Luminária redonda de sobrepor (plafond) – Linha Residencial</t>
  </si>
  <si>
    <t>Acabamento Passa-fio 59mm</t>
  </si>
  <si>
    <t>Difusor em acrílico e aro metálico para luminárias (modelo Edifício Principal - INTERIOR)</t>
  </si>
  <si>
    <t>Difusor em acrílico e aro metálico para luminárias (modelo Edifício Principal - EXTERIOR)</t>
  </si>
  <si>
    <t>Difusor em acrílico e presilhas metálicas para luminárias (modelo Comissões)</t>
  </si>
  <si>
    <t>SF-01292</t>
  </si>
  <si>
    <t>SF-01293</t>
  </si>
  <si>
    <t>SF-01294</t>
  </si>
  <si>
    <t>ARAME RECOZIDO 16 BWG, D = 1,65 MM (0,016 KG/M) OU 18 BWG, D = 1,25 MM (0,01 KG/M)</t>
  </si>
  <si>
    <t>BLOCO CERAMICO VAZADO PARA ALVENARIA DE VEDACAO, DE 9 X 19 X 19 CM (L X A X C)</t>
  </si>
  <si>
    <t>BLOCO DE CONCRETO ESTRUTURAL 9 X 19 X 39 CM, FBK 4,5 MPA (NBR 6136)</t>
  </si>
  <si>
    <t>BLOCO DE VEDACAO DE CONCRETO, 9 X 19 X 39 CM (CLASSE C - NBR 6136)</t>
  </si>
  <si>
    <t>REJUNTE EPOXI, QUALQUER COR</t>
  </si>
  <si>
    <t>TIJOLO CERAMICO MACICO COMUM *5 X 10 X 20* CM (L X A X C)</t>
  </si>
  <si>
    <t>TUBO ACO CARBONO SEM COSTURA 1 1/4", E= *3,56 MM, SCHEDULE 40, *3,38* KG/M</t>
  </si>
  <si>
    <t>TUBO ACO CARBONO SEM COSTURA 1", E= *3,38 MM, SCHEDULE 40, *2,50* KG/M</t>
  </si>
  <si>
    <t>TUBO ACO CARBONO SEM COSTURA 5", E= *6,55 MM, SCHEDULE 40, *21,75* KG/M</t>
  </si>
  <si>
    <t>TRANSPORTE COM CAMINHÃO BASCULANTE DE 6 M³, EM VIA URBANA PAVIMENTADA, DMT ATÉ 30 KM (UNIDADE: TXKM). AF_07/2020</t>
  </si>
  <si>
    <t>TRANSPORTE COM CAMINHÃO BASCULANTE DE 6 M³, EM VIA URBANA PAVIMENTADA, DMT ATÉ 30 KM (UNIDADE: M3XKM).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</si>
  <si>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</si>
  <si>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</si>
  <si>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CARGA, MANOBRA E DESCARGA DE SOLOS E MATERIAIS GRANULARES EM CAMINHÃO BASCULANTE 6 M³ - CARGA COM PÁ CARREGADEIRA (CAÇAMBA DE 1,7 A 2,8 M³ / 128 HP) E DESCARGA LIVRE (UNIDADE: M3).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</si>
  <si>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</si>
  <si>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</si>
  <si>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Rejunte cimenticio, qualquer cor</t>
  </si>
  <si>
    <t>Argamassa colante tipo AC III</t>
  </si>
  <si>
    <t>Argamassa colante AC II</t>
  </si>
  <si>
    <t>Rejunte epoxi, qualquer cor</t>
  </si>
  <si>
    <t>Telha estrutural de fibrocimento esp. 8 mm largura útil 49 cm</t>
  </si>
  <si>
    <t>Massa rápida para recuperação</t>
  </si>
  <si>
    <t>Argamassa para recuperação</t>
  </si>
  <si>
    <t>Primer à base de resina acrílica</t>
  </si>
  <si>
    <t>Cumeeira metálica galvanizada GR 25 com espessura de 0,43 mm.</t>
  </si>
  <si>
    <t>Cumeeira metálica galvanizada GR 40 com espessura de 0,43 mm.</t>
  </si>
  <si>
    <t>Revestimento impermabilizante bloqueador de umidade</t>
  </si>
  <si>
    <t>Obs 1: Considerando consumo do adesivo estrutural 1,8 kg / m² / mm.</t>
  </si>
  <si>
    <t>Obs 2: Considerando consumo do selante 100 ml / cm de espessura.</t>
  </si>
  <si>
    <t>Folha de porta em madeira 2,10x0,60m, pintada</t>
  </si>
  <si>
    <t>Folha de porta em madeira 2,10x0,70m, pintada</t>
  </si>
  <si>
    <t>Folha de porta em madeira 2,10x0,80m, pintada</t>
  </si>
  <si>
    <t>Folha de porta em madeira 2,10x0,90m, pintada</t>
  </si>
  <si>
    <t>Folha de porta em madeira 2,10x1,0m, pintada</t>
  </si>
  <si>
    <t>Folha de porta em madeira e MDF 2,10x0,60m</t>
  </si>
  <si>
    <t>Folha de porta em madeira e MDF 2,10x0,70m</t>
  </si>
  <si>
    <t>Folha de porta em madeira e MDF 2,10x0,80m</t>
  </si>
  <si>
    <t>Folha de porta em madeira e MDF 2,10x0,90m</t>
  </si>
  <si>
    <t>Batentes e guarnições em madeira, com verniz ou esmalte</t>
  </si>
  <si>
    <t>Batedor/limitador inferior para box de correr, em material polimérico sintético</t>
  </si>
  <si>
    <t>Batedor/amortecedor lateral de borracha para box de correr.</t>
  </si>
  <si>
    <t>Batedor/limitador superior para roldana de box de correr, em material polimérico sintético</t>
  </si>
  <si>
    <t>Fonte: http://www.alpuxadores.com.br/baixar/catalogo.pdf</t>
  </si>
  <si>
    <t>Ref.: AL Indústria Ref.: AL-63</t>
  </si>
  <si>
    <t>Ref.: AL Indústria Ref.: AL-BX-02</t>
  </si>
  <si>
    <t>Ref.: AL Indústria Ref.: AL-BX-07</t>
  </si>
  <si>
    <t>Ref.: AL Indústria Ref.: AL-BX-08</t>
  </si>
  <si>
    <t>Ref.: AL Indústria Ref.: AL-BX-03</t>
  </si>
  <si>
    <t>Ref.: AL Indústria Ref.: AL-BX-01</t>
  </si>
  <si>
    <t>Ref.: AL Indústria Ref.: AL-BX-05</t>
  </si>
  <si>
    <t>Ref.: AL Indústria Ref.: AL-BX-06</t>
  </si>
  <si>
    <t>Misturador de mesa para cozinha, bica móvel, cromado. Ref.: Deca Aspen 1256.C35 ou equivalente</t>
  </si>
  <si>
    <t>Misturador para bidê, ref: Deca Aspen 1895.C35 ou equivalente</t>
  </si>
  <si>
    <t>Bidê 3 furos branco ref: Deca Vogue Plus B.5.17 ou equivalente</t>
  </si>
  <si>
    <t>Chuveiro de metal cromado com tubo de parede, crivo regulável e restritor de vazão. Ref.: Deca Aspen 1967.C.CT ou equivalente</t>
  </si>
  <si>
    <t>Bacia Sanitária convencional branca ref: Deca Vogue Plus P.5.17 ou equivalente</t>
  </si>
  <si>
    <t>Misturador para lavatório de mesa bica alta, cromado. Ref.: Deca Aspen 1877.C35 ou equivalente</t>
  </si>
  <si>
    <t>Misturador de parede para cozinha, cromada. Ref.: Deca Aspen 1258.C35 ou equivalente</t>
  </si>
  <si>
    <t>Dobradiça metálica automática para vidro/vidro, utilizada em Box de vidro temperado, com porta de abrir. Ref.: Santa Marina, 1129.</t>
  </si>
  <si>
    <t>Lâmpada fluorescente compacta, 23W, ref: OSRAM Duluxstar DST STICK 23 W/865 220V E27</t>
  </si>
  <si>
    <t>Luminária tipo arandela, de sobrepor, dimensões (em mm) 250 x 250 x 73, base E27. Ref.: Taschibra-Arandela Embaú; Bronzearte - Bambu</t>
  </si>
  <si>
    <t>Base de válvula de descarga 1 1/2”</t>
  </si>
  <si>
    <t>Base de válvula de descarga 1 1/4”</t>
  </si>
  <si>
    <t>Cerâmica 30x60xm Glacier White (26109E) – Linha White Home – Portobello, ou similar</t>
  </si>
  <si>
    <t>Aquecedor elétrico individual automático, 5000W, 220V</t>
  </si>
  <si>
    <t>Prateleira com base em resina, com acabamento cromado. Ref: Deca Flex 2031.C.FLX ou equivalente</t>
  </si>
  <si>
    <t>Saboneteira com base em resina de alta resistência com espessura com acabamento cromado. Ref: Deca Flex 2010.C.FLX ou equivalente</t>
  </si>
  <si>
    <t>Campainha eletrônica de dois tons, 70 dB,  220V</t>
  </si>
  <si>
    <t>SF-01295</t>
  </si>
  <si>
    <t>Bandeira de porta, em madeira e MDF</t>
  </si>
  <si>
    <t>SF-01296</t>
  </si>
  <si>
    <t>Bandeira de porta, em madeira pintada</t>
  </si>
  <si>
    <t>SF-01297</t>
  </si>
  <si>
    <t>Levantamentos como construído (“As Built”) e Relatório de Avaliação Técnica – Bloco 01 (PRODASEN)</t>
  </si>
  <si>
    <t>SF-01298</t>
  </si>
  <si>
    <t>Levantamentos como construído (“As Built”) e Relatório de Avaliação Técnica – Áreas Técnicas 10 (CM-3), 13 (CM-2) e Espaços Externos</t>
  </si>
  <si>
    <t>SF-01299</t>
  </si>
  <si>
    <t>Levantamentos como construído (“As Built”) e Relatório de Avaliação Técnica - Anexo II e Túnel do Tempo</t>
  </si>
  <si>
    <t>SF-01300</t>
  </si>
  <si>
    <t>Estudos Preliminares de Prevenção e Combate a Incêndio e Pânico (incluindo Acessibilidade e Segurança de Pessoa com Deficiência) - Bloco 01 (PRODASEN)</t>
  </si>
  <si>
    <t>SF-01301</t>
  </si>
  <si>
    <t>Estudos Preliminares de Prevenção e Combate a Incêndio e Pânico (incluindo Acessibilidade e Segurança de Pessoa com Deficiência) - Áreas Técnicas 10 (CM-3), 13 (CM-2) e Espaços Externos</t>
  </si>
  <si>
    <t>SF-01302</t>
  </si>
  <si>
    <t>Estudos Preliminares de Prevenção e Combate a Incêndio e Pânico (incluindo Acessibilidade e Segurança de Pessoa com Deficiência) - Anexo II e Túnel do Tempo</t>
  </si>
  <si>
    <t>SF-01303</t>
  </si>
  <si>
    <t>Anteprojetos e Orçamentos Preliminares para Prevenção e Combate a Incêndio e Pânico (incluindo Acessibilidade e Segurança de Pessoa com Deficiência) - Bloco 01 (PRODASEN)</t>
  </si>
  <si>
    <t>SF-01304</t>
  </si>
  <si>
    <t>Anteprojetos e Orçamentos Preliminares para Prevenção e Combate a Incêndio e Pânico (incluindo Acessibilidade e Segurança de Pessoa com Deficiência) - Áreas Técnicas 10 (CM-3), 13 (CM-2) e Espaços Externos</t>
  </si>
  <si>
    <t>SF-01305</t>
  </si>
  <si>
    <t>Anteprojetos e Orçamentos Preliminares para Prevenção e Combate a Incêndio e Pânico (incluindo Acessibilidade e Segurança de Pessoa com Deficiência) - Anexo II e Túnel do Tempo</t>
  </si>
  <si>
    <t>SF-01306</t>
  </si>
  <si>
    <t>Projetos Executivos de Prevenção e Combate a Incêndio e Pânico (incluindo Acessibilidade e Segurança de Pessoa com Deficiência) - Bloco 01 (PRODASEN)</t>
  </si>
  <si>
    <t>SF-01307</t>
  </si>
  <si>
    <t>Projetos Executivos de Prevenção e Combate a Incêndio e Pânico (incluindo Acessibilidade e Segurança de Pessoa com Deficiência) - Áreas Técnicas 10 (CM-3), 13 (CM-2) e Espaços Externos</t>
  </si>
  <si>
    <t>SF-01308</t>
  </si>
  <si>
    <t>Projetos Executivos de Prevenção e Combate a Incêndio e Pânico (incluindo Acessibilidade e Segurança de Pessoa com Deficiência) - Anexo II e Túnel do Tempo</t>
  </si>
  <si>
    <t>SF-01309</t>
  </si>
  <si>
    <t>Orçamentos Finais e Cronograma Físico-Financeiro para intervenções de Prevenção e Combate a Incêndio e Pânico (incluindo Acessibilidade e Segurança de Pessoa com Deficiência)</t>
  </si>
  <si>
    <t>SF-01310</t>
  </si>
  <si>
    <t>Cambota elastomérica de 8”</t>
  </si>
  <si>
    <t>SF-01311</t>
  </si>
  <si>
    <t>Curva raio curto 45° em aço carbono para solda de topo DN 125 (5" NPS)</t>
  </si>
  <si>
    <t>SF-01312</t>
  </si>
  <si>
    <t>Curva raio curto 90° em aço carbono para solda de topo DN 125 (5" NPS)</t>
  </si>
  <si>
    <t>SF-01313</t>
  </si>
  <si>
    <t>Curva raio longo 90° em aço carbono para solda de topo DN 125 (5" NPS)</t>
  </si>
  <si>
    <t>SF-01314</t>
  </si>
  <si>
    <t>Curva raio longo 90° em aço carbono para solda de topo DN 200 (8" NPS)</t>
  </si>
  <si>
    <t>SF-01315</t>
  </si>
  <si>
    <t>Eliminador de ar para líquidos DN 20 (3/4" NPS)</t>
  </si>
  <si>
    <t>SF-01316</t>
  </si>
  <si>
    <t>Flange de pescoço, aço carbono, classe 150, DN 125 (5" NPS)</t>
  </si>
  <si>
    <t>SF-01317</t>
  </si>
  <si>
    <t>Isolamento elastomérico para tubulações de ferro de 5”</t>
  </si>
  <si>
    <t>SF-01318</t>
  </si>
  <si>
    <t>Meia luva em aço carbono DN 15 (1/2" NPS)</t>
  </si>
  <si>
    <t>SF-01319</t>
  </si>
  <si>
    <t>Redução concêntrica em aço carbono para solda de topo DN 200 (8" NPS) × DN 125 (5" NPS)</t>
  </si>
  <si>
    <t>SF-01320</t>
  </si>
  <si>
    <t>Suporte metálico tipo T com alça</t>
  </si>
  <si>
    <t>SF-01321</t>
  </si>
  <si>
    <t>Suporte metálico tipo T</t>
  </si>
  <si>
    <t>SF-01322</t>
  </si>
  <si>
    <t>Suporte metálico tipo trave alta</t>
  </si>
  <si>
    <t>SF-01323</t>
  </si>
  <si>
    <t>Suporte metálico tipo trave baixa</t>
  </si>
  <si>
    <t>SF-01324</t>
  </si>
  <si>
    <t>Suporte metálico tipo trave com suportes desiguais</t>
  </si>
  <si>
    <t>SF-01325</t>
  </si>
  <si>
    <t>Tê em aço carbono para solda de topo DN 200 (8" NPS)</t>
  </si>
  <si>
    <t>SF-01326</t>
  </si>
  <si>
    <t>Tubo de aço-carbono preto DN 125 (5" NPS)</t>
  </si>
  <si>
    <t>SF-01327</t>
  </si>
  <si>
    <t>Tubo de aço-carbono preto DN 200 (8" NPS)</t>
  </si>
  <si>
    <t>SF-01328</t>
  </si>
  <si>
    <t>Válvula de esfera em bronze 1/2”</t>
  </si>
  <si>
    <t>SF-01329</t>
  </si>
  <si>
    <t>Válvula gaveta com flange DN 125 (5" NPS)</t>
  </si>
  <si>
    <t>SF-01330</t>
  </si>
  <si>
    <t>Ar-condicionado split hi-wall inverter 18.000 BTU/h</t>
  </si>
  <si>
    <t>SF-01331</t>
  </si>
  <si>
    <t>Cabo de fibra óptica monomodo 12 fibras</t>
  </si>
  <si>
    <t>SF-01332</t>
  </si>
  <si>
    <t>Cabo de fibra óptica monomodo 144 fibras</t>
  </si>
  <si>
    <t>SF-01333</t>
  </si>
  <si>
    <t>Caixa de passagem em alumínio 300x300x120mm</t>
  </si>
  <si>
    <t>SF-01334</t>
  </si>
  <si>
    <t>Caixa de Passagem Subterrânea 1600x2000mm</t>
  </si>
  <si>
    <t>SF-01335</t>
  </si>
  <si>
    <t>Projeto Executivo de Rede de Telecomunicações Backbone</t>
  </si>
  <si>
    <t>SF-01336</t>
  </si>
  <si>
    <t>Eletroduto PEAD 2”</t>
  </si>
  <si>
    <t>SF-01337</t>
  </si>
  <si>
    <t>Furo direcional por método não-destrutivo com fornecimento de duto</t>
  </si>
  <si>
    <t>SF-01338</t>
  </si>
  <si>
    <t>Sondagem por Radar de Penetração de Solo - GPR</t>
  </si>
  <si>
    <t>SF-01339</t>
  </si>
  <si>
    <t>Tampa em Ferro Fundido - Circular DN-600 mm Classe 400</t>
  </si>
  <si>
    <t>Cambota elastomérica de 8" para suporte de tubulação industrial</t>
  </si>
  <si>
    <t>Curva raio curto 45° em aço carbono para solda de topo, SCH 40, DN 125 (5" NPS)</t>
  </si>
  <si>
    <t>Curva raio curto 90° em aço carbono para solda de topo, SCH 40, DN 125 (5" NPS)</t>
  </si>
  <si>
    <t>Curva raio longo 90° em aço carbono para solda de topo, SCH 40, DN 125 (5" NPS)</t>
  </si>
  <si>
    <t>Curva raio longo 90° em aço carbono para solda de topo, SCH 40, DN 200 (8" NPS)</t>
  </si>
  <si>
    <t>Eliminador de ar para líquidos com pressão máxima de operação de 10,5 kgf/cm2 (150 psi), DN 20 (3/4" NPS), conexão roscada</t>
  </si>
  <si>
    <t>Flange de pescoço em aço carbono, classe 150, DN 125 (5" NPS)</t>
  </si>
  <si>
    <t>isolamento elastomérico em formato de tubo ou coquilha de espessura M, próprio para tubulações de ferro de diâmetro nominal 5”. Ref.: AF/Armaflex M-48, K-Flex ST</t>
  </si>
  <si>
    <t>Meia luva em aço carbono, classe 3000 lbs, rosca BSP ou NPT, DN 15 (1/2" NPS)</t>
  </si>
  <si>
    <t>Redução concêntrica em aço carbono para solda de topo, SCH 40, diâmetro DN 200 (8" NPS) × DN 125 (5" NPS)</t>
  </si>
  <si>
    <t>Tê em aço carbono para solda de topo, SCH 40, diâmetro DN 200 (8" NPS)</t>
  </si>
  <si>
    <t>Cabo constituído por 12 fibras ópticas do tipo monomodo (9/125μm)</t>
  </si>
  <si>
    <t>Cabo constituído por 144 fibras ópticas do tipo monomodo (9/125μm)</t>
  </si>
  <si>
    <t>Chuveiro elétrico 7800W, 220V. Ref: Lorenzetti Acqua Storm Ultra</t>
  </si>
  <si>
    <t>FABRICAÇÃO DE FÔRMA PARA VIGAS, EM CHAPA DE MADEIRA COMPENSADA RESINADA, E = 17 MM. AF_09/2020</t>
  </si>
  <si>
    <t>FABRICAÇÃO DE FÔRMA PARA PILARES E ESTRUTURAS SIMILARES, EM MADEIRA SERRADA, E=25 MM. AF_09/2020</t>
  </si>
  <si>
    <t>FABRICAÇÃO DE ESCORAS DE VIGA DO TIPO GARFO, EM MADEIRA. AF_09/2020</t>
  </si>
  <si>
    <t>Obs.2: Inclusão de composições (abertas) Sinapi 100973 e 97914.</t>
  </si>
  <si>
    <t>Armário em MDF laminado com porta e módulo de gaveta – Linha Residencial</t>
  </si>
  <si>
    <t>BARRA DE FERRO CHATA, RETANGULAR (QUALQUER BITOLA)</t>
  </si>
  <si>
    <t>GESSO EM PO PARA REVESTIMENTOS/MOLDURAS/SANCAS E USO GERAL</t>
  </si>
  <si>
    <t>LONA PLASTICA EXTRA FORTE PRETA, E = 200 MICRA</t>
  </si>
  <si>
    <t>MASSA DE REJUNTE EM PO PARA DRYWALL, A BASE DE GESSO, SECAGEM RAPIDA, PARA TRATAMENTO DE JUNTAS DE CHAPA DE GESSO (NECESSITA ADICAO DE AGUA)</t>
  </si>
  <si>
    <t>MEIO-FIO OU GUIA DE CONCRETO, PRE-MOLDADO, COMP 1 M, *30 X 12/15* CM (H X L1/L2)</t>
  </si>
  <si>
    <t>PLACA / CHAPA DE GESSO ACARTONADO, STANDARD (ST), COR BRANCA, E = 12,5 MM, 1200 X 2400 MM (L X C)</t>
  </si>
  <si>
    <t>PLACA DE GESSO PARA FORRO, *60 X 60* CM, ESPESSURA DE 12 MM (SEM COLOCACAO)</t>
  </si>
  <si>
    <t>PONTALETE *7,5 X 7,5* CM EM PINUS, MISTA OU EQUIVALENTE DA REGIAO - BRUTA</t>
  </si>
  <si>
    <t>SARRAFO *2,5 X 10* CM EM PINUS, MISTA OU EQUIVALENTE DA REGIAO - BRUTA</t>
  </si>
  <si>
    <t>SARRAFO *2,5 X 7,5* CM EM PINUS, MISTA OU EQUIVALENTE DA REGIAO - BRUTA</t>
  </si>
  <si>
    <t>TABUA *2,5 X 30 CM EM PINUS, MISTA OU EQUIVALENTE DA REGIAO - BRUTA</t>
  </si>
  <si>
    <t>SF-01340</t>
  </si>
  <si>
    <t>Válvula solenóide para gás</t>
  </si>
  <si>
    <t>SF-01341</t>
  </si>
  <si>
    <t>Coletor de gás</t>
  </si>
  <si>
    <t>SF-01342</t>
  </si>
  <si>
    <t>Tubo multicamadas flexível 20 mm</t>
  </si>
  <si>
    <t>SF-01343</t>
  </si>
  <si>
    <t>Tubo multicamadas flexível 26 mm</t>
  </si>
  <si>
    <t>SF-01344</t>
  </si>
  <si>
    <t>Regulador de Pressão para Gás</t>
  </si>
  <si>
    <t>SF-01345</t>
  </si>
  <si>
    <t>SF-01346</t>
  </si>
  <si>
    <t>Elaboração de Projeto Executivo de Subestação Elétrica em Poste</t>
  </si>
  <si>
    <t>Subestação Elétrica 13,8-0,38kV e 300 kVA em poste completa, conforme normas da CEB-D, com mureta de medição e proteção em baixa tensão</t>
  </si>
  <si>
    <t>PREÇO TOTAL</t>
  </si>
  <si>
    <t>SF-01380</t>
  </si>
  <si>
    <t>Relatório técnico de qualidade do ar</t>
  </si>
  <si>
    <t>SF-01379</t>
  </si>
  <si>
    <t>Detector de fumaça</t>
  </si>
  <si>
    <t>FECHADURA ESPELHO PARA PORTA EXTERNA, EM ACO INOX (MAQUINA, TESTA E CONTRA-TESTA) E EM ZAMAC (MACANETA, LINGUETA E TRINCOS) COM ACABAMENTO CROMADO, MAQUINA DE 40 MM, INCLUINDO CHAVE TIPO CILINDRO</t>
  </si>
  <si>
    <t>PORTA DE ABRIR / GIRO, DE MADEIRA FOLHA MEDIA (NBR 15930) DE 700 X 2100 MM, DE 35 MM A 40 MM DE ESPESSURA, NUCLEO SEMI-SOLIDO (SARRAFEADO), CAPA FRISADA EM HDF, ACABAMENTO MELAMINICO EM PADRAO MADEIRA</t>
  </si>
  <si>
    <t>PORTA DE ABRIR / GIRO, DE MADEIRA FOLHA MEDIA (NBR 15930) DE 700 X 2100 MM, DE 35 MM A 40 MM DE ESPESSURA, NUCLEO SEMI-SOLIDO (SARRAFEADO), CAPA LISA EM HDF, ACABAMENTO EM LAMINADO NATURAL PARA VERNIZ</t>
  </si>
  <si>
    <t>PORTA DE ABRIR / GIRO, DE MADEIRA FOLHA MEDIA (NBR 15930) DE 800 X 2100 MM, DE 35 MM A 40 MM DE ESPESSURA, NUCLEO SEMI-SOLIDO (SARRAFEADO), CAPA FRISADA EM HDF, ACABAMENTO MELAMINICO EM PADRAO MADEIRA</t>
  </si>
  <si>
    <t>PORTA DE ABRIR / GIRO, DE MADEIRA FOLHA MEDIA (NBR 15930) DE 800 X 2100 MM, DE 35 MM A 40 MM DE ESPESSURA, NUCLEO SEMI-SOLIDO (SARRAFEADO), CAPA LISA EM HDF, ACABAMENTO EM LAMINADO NATURAL PARA VERNIZ</t>
  </si>
  <si>
    <t>PORTA DE ABRIR / GIRO, DE MADEIRA FOLHA MEDIA (NBR 15930) DE 900 X 2100 MM, DE 35 MM A 40 MM DE ESPESSURA, NUCLEO SEMI-SOLIDO (SARRAFEADO), CAPA LISA EM HDF, ACABAMENTO EM LAMINADO NATURAL PARA VERNIZ</t>
  </si>
  <si>
    <t>PORTA DE MADEIRA, FOLHA MEDIA (NBR 15930) DE 600 X 2100 MM, DE 35 MM A 40 MM DE ESPESSURA, NUCLEO SEMI-SOLIDO (SARRAFEADO), CAPA FRISADA EM HDF, ACABAMENTO MELAMINICO EM PADRAO MADEIRA</t>
  </si>
  <si>
    <t>PORTA DE MADEIRA, FOLHA MEDIA (NBR 15930) DE 600 X 2100 MM, DE 35 MM A 40 MM DE ESPESSURA, NUCLEO SEMI-SOLIDO (SARRAFEADO), CAPA LISA EM HDF, ACABAMENTO LAMINADO NATURAL PARA VERNIZ</t>
  </si>
  <si>
    <t>PUXADOR TIPO ALCA, EM ZAMAC CROMADO, COM ROSETAS, COMPRIMENTO DE APROX *100* MM, PARA PORTAS E JANELAS DE MADEIRA, INCLUINDO PARAFUSOS</t>
  </si>
  <si>
    <t>TARJETA LIVRE / OCUPADO PARA PORTA DE BANHEIRO, CORPO EM ZAMAC E ESPELHO EM LATAO</t>
  </si>
  <si>
    <t>TINTA EPOXI BASE AGUA PREMIUM, BRANCA</t>
  </si>
  <si>
    <t>SF-01381</t>
  </si>
  <si>
    <t>SF-01382</t>
  </si>
  <si>
    <t>SF-01383</t>
  </si>
  <si>
    <t>Laminado fenólico melamínico texturizado - Preto</t>
  </si>
  <si>
    <t>Compensado Laminado de Imbuia em duas faces - 15 mm</t>
  </si>
  <si>
    <t>Compensado Laminado de Freijó em duas faces - 15 mm</t>
  </si>
  <si>
    <t>Compensado Laminado de cerejeira em uma face - 04 mm</t>
  </si>
  <si>
    <t>Compensado Laminado de Imbuia em uma face - 04 mm</t>
  </si>
  <si>
    <t>Compensado Laminado de Freijó em uma face - 04 mm</t>
  </si>
  <si>
    <t>Lâmina de Madeira - Freijó</t>
  </si>
  <si>
    <t>Interligação da Central de Água Gelada (CAG) da Área Técnica 40 (AT40) com o Bloco 17 (BL17 – SAFIN/Serviço Médico)</t>
  </si>
  <si>
    <t>*Considerando distância Brasília-Sâo Paulo = 1.030 km</t>
  </si>
  <si>
    <t>Data: Maio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</si>
</sst>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quot;R$&quot;\ * #,##0.00_-;\-&quot;R$&quot;\ * #,##0.00_-;_-&quot;R$&quot;\ * &quot;-&quot;??_-;_-@_-"/>
    <numFmt numFmtId="165" formatCode="_(* #,##0.00_);_(* \(#,##0.00\);_(* \-??_);_(@_)"/>
    <numFmt numFmtId="166" formatCode="_(&quot;R$&quot;* #,##0.00_);_(&quot;R$&quot;* \(#,##0.00\);_(&quot;R$&quot;* &quot;-&quot;??_);_(@_)"/>
    <numFmt numFmtId="167" formatCode="0.0000"/>
    <numFmt numFmtId="168" formatCode="#,##0.0000"/>
    <numFmt numFmtId="169" formatCode="_(* #,##0.00_);_(* \(#,##0.00\);_(* &quot;-&quot;??_);_(@_)"/>
    <numFmt numFmtId="170" formatCode="#,##0.0000000"/>
    <numFmt numFmtId="171" formatCode="&quot;Data-base SINAPI&quot;\ mm/yyyy"/>
    <numFmt numFmtId="172" formatCode="#,##0.00;;"/>
    <numFmt numFmtId="173" formatCode="#,##0;;"/>
    <numFmt numFmtId="174" formatCode="&quot;R$&quot;\ #,##0.00;[Red]&quot;R$&quot;\ #,##0.00"/>
  </numFmts>
  <fonts count="32" x14ac:knownFonts="1">
    <font>
      <sz val="11"/>
      <color theme="1"/>
      <name val="Calibri"/>
      <family val="2"/>
      <scheme val="minor"/>
    </font>
    <font>
      <sz val="11"/>
      <color theme="1"/>
      <name val="Calibri"/>
      <family val="2"/>
      <scheme val="minor"/>
    </font>
    <font>
      <sz val="10"/>
      <name val="Arial"/>
      <family val="2"/>
    </font>
    <font>
      <b/>
      <sz val="10"/>
      <name val="Arial"/>
      <family val="2"/>
    </font>
    <font>
      <b/>
      <u/>
      <sz val="10"/>
      <name val="Arial"/>
      <family val="2"/>
    </font>
    <font>
      <sz val="8"/>
      <name val="Arial"/>
      <family val="2"/>
    </font>
    <font>
      <b/>
      <sz val="10"/>
      <color rgb="FFFF0000"/>
      <name val="Arial"/>
      <family val="2"/>
    </font>
    <font>
      <b/>
      <sz val="10"/>
      <color theme="0"/>
      <name val="Arial"/>
      <family val="2"/>
    </font>
    <font>
      <b/>
      <sz val="12"/>
      <color theme="1"/>
      <name val="Arial"/>
      <family val="2"/>
    </font>
    <font>
      <u/>
      <sz val="11"/>
      <color theme="10"/>
      <name val="Calibri"/>
      <family val="2"/>
      <scheme val="minor"/>
    </font>
    <font>
      <b/>
      <i/>
      <sz val="16"/>
      <color rgb="FFFF0000"/>
      <name val="Verdana"/>
      <family val="2"/>
    </font>
    <font>
      <b/>
      <sz val="11"/>
      <color theme="1"/>
      <name val="Arial"/>
      <family val="2"/>
    </font>
    <font>
      <b/>
      <sz val="14"/>
      <color theme="1"/>
      <name val="Arial"/>
      <family val="2"/>
    </font>
    <font>
      <b/>
      <sz val="14"/>
      <name val="Verdana"/>
      <family val="2"/>
    </font>
    <font>
      <b/>
      <sz val="14"/>
      <color theme="1"/>
      <name val="Verdana"/>
      <family val="2"/>
    </font>
    <font>
      <sz val="11"/>
      <color theme="1"/>
      <name val="Verdana"/>
      <family val="2"/>
    </font>
    <font>
      <b/>
      <sz val="12"/>
      <name val="Arial"/>
      <family val="2"/>
    </font>
    <font>
      <b/>
      <sz val="11"/>
      <name val="Arial"/>
      <family val="2"/>
    </font>
    <font>
      <b/>
      <sz val="14"/>
      <name val="Arial"/>
      <family val="2"/>
    </font>
    <font>
      <sz val="12"/>
      <name val="Arial"/>
      <family val="2"/>
    </font>
    <font>
      <sz val="11"/>
      <color theme="1"/>
      <name val="Arial"/>
      <family val="2"/>
    </font>
    <font>
      <b/>
      <sz val="11"/>
      <color rgb="FFFF0000"/>
      <name val="Arial"/>
      <family val="2"/>
    </font>
    <font>
      <b/>
      <sz val="10"/>
      <color theme="1"/>
      <name val="Arial"/>
      <family val="2"/>
    </font>
    <font>
      <u/>
      <sz val="8"/>
      <color indexed="12"/>
      <name val="Arial"/>
      <family val="2"/>
    </font>
    <font>
      <u/>
      <sz val="9"/>
      <color indexed="12"/>
      <name val="Arial"/>
      <family val="2"/>
    </font>
    <font>
      <b/>
      <u/>
      <sz val="10"/>
      <color rgb="FFFF0000"/>
      <name val="Verdana"/>
      <family val="2"/>
    </font>
    <font>
      <b/>
      <sz val="10"/>
      <color rgb="FFFF0000"/>
      <name val="Verdana"/>
      <family val="2"/>
    </font>
    <font>
      <sz val="11"/>
      <name val="Verdana"/>
      <family val="2"/>
    </font>
    <font>
      <sz val="11"/>
      <name val="Arial"/>
      <family val="2"/>
    </font>
    <font>
      <b/>
      <sz val="11"/>
      <color theme="0"/>
      <name val="Arial"/>
      <family val="2"/>
    </font>
    <font>
      <b/>
      <u/>
      <sz val="11"/>
      <color theme="1"/>
      <name val="Arial"/>
      <family val="2"/>
    </font>
    <font>
      <sz val="10"/>
      <color theme="1"/>
      <name val="Arial"/>
      <family val="2"/>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0F243D"/>
        <bgColor indexed="64"/>
      </patternFill>
    </fill>
    <fill>
      <patternFill patternType="solid">
        <fgColor theme="0"/>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auto="1"/>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165" fontId="2" fillId="0" borderId="0" applyFont="0" applyFill="0" applyAlignment="0" applyProtection="0"/>
    <xf numFmtId="166" fontId="2" fillId="0" borderId="0" applyFont="0" applyFill="0" applyBorder="0" applyAlignment="0" applyProtection="0"/>
    <xf numFmtId="0" fontId="9" fillId="0" borderId="0" applyNumberFormat="0" applyFill="0" applyBorder="0" applyAlignment="0" applyProtection="0"/>
  </cellStyleXfs>
  <cellXfs count="246">
    <xf numFmtId="0" fontId="0" fillId="0" borderId="0" xfId="0"/>
    <xf numFmtId="0" fontId="2" fillId="0" borderId="0" xfId="0" applyFont="1"/>
    <xf numFmtId="0" fontId="3" fillId="0" borderId="0" xfId="0" applyFont="1" applyAlignment="1">
      <alignment horizontal="left" vertical="center"/>
    </xf>
    <xf numFmtId="0" fontId="2" fillId="0" borderId="0" xfId="0" applyFont="1" applyAlignment="1" applyProtection="1">
      <alignment horizontal="center" vertical="center"/>
      <protection locked="0"/>
    </xf>
    <xf numFmtId="0" fontId="0" fillId="0" borderId="0" xfId="0" applyAlignment="1"/>
    <xf numFmtId="0" fontId="0" fillId="0" borderId="0" xfId="0" applyAlignment="1">
      <alignment wrapText="1"/>
    </xf>
    <xf numFmtId="0" fontId="10" fillId="3" borderId="0" xfId="0" applyFont="1" applyFill="1" applyAlignment="1">
      <alignment horizontal="centerContinuous" vertical="distributed"/>
    </xf>
    <xf numFmtId="167" fontId="10" fillId="3" borderId="0" xfId="0" applyNumberFormat="1" applyFont="1" applyFill="1" applyAlignment="1">
      <alignment horizontal="centerContinuous" vertical="distributed"/>
    </xf>
    <xf numFmtId="0" fontId="10" fillId="0" borderId="0" xfId="0" applyFont="1" applyAlignment="1">
      <alignment horizontal="centerContinuous" vertical="distributed"/>
    </xf>
    <xf numFmtId="2" fontId="12" fillId="0" borderId="0" xfId="0" applyNumberFormat="1" applyFont="1" applyAlignment="1">
      <alignment horizontal="center" vertical="center" wrapText="1"/>
    </xf>
    <xf numFmtId="0" fontId="13" fillId="3" borderId="0" xfId="0" applyFont="1" applyFill="1" applyAlignment="1">
      <alignment horizontal="centerContinuous" vertical="center" wrapText="1"/>
    </xf>
    <xf numFmtId="0" fontId="14" fillId="3" borderId="0" xfId="0" applyFont="1" applyFill="1" applyAlignment="1">
      <alignment horizontal="centerContinuous" vertical="center" wrapText="1"/>
    </xf>
    <xf numFmtId="167" fontId="14" fillId="3" borderId="0" xfId="0" applyNumberFormat="1" applyFont="1" applyFill="1" applyAlignment="1">
      <alignment horizontal="centerContinuous" vertical="center" wrapText="1"/>
    </xf>
    <xf numFmtId="0" fontId="14" fillId="0" borderId="0" xfId="0" applyFont="1" applyAlignment="1">
      <alignment horizontal="centerContinuous" vertical="center" wrapText="1"/>
    </xf>
    <xf numFmtId="0" fontId="15" fillId="0" borderId="0" xfId="0" applyFont="1" applyAlignment="1">
      <alignment horizontal="centerContinuous" vertical="center" wrapText="1"/>
    </xf>
    <xf numFmtId="167" fontId="15" fillId="0" borderId="0" xfId="0" applyNumberFormat="1" applyFont="1" applyAlignment="1">
      <alignment horizontal="centerContinuous" vertical="center" wrapText="1"/>
    </xf>
    <xf numFmtId="0" fontId="20" fillId="0" borderId="0" xfId="0" applyFont="1" applyAlignment="1">
      <alignment vertical="center" wrapText="1"/>
    </xf>
    <xf numFmtId="167" fontId="20" fillId="0" borderId="0" xfId="0" applyNumberFormat="1" applyFont="1" applyAlignment="1">
      <alignment vertical="center" wrapText="1"/>
    </xf>
    <xf numFmtId="0" fontId="21" fillId="0" borderId="0" xfId="0" applyFont="1" applyAlignment="1">
      <alignment horizontal="center" vertical="center" wrapText="1"/>
    </xf>
    <xf numFmtId="2" fontId="20" fillId="0" borderId="0" xfId="0" applyNumberFormat="1" applyFont="1" applyAlignment="1">
      <alignment vertical="center"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167" fontId="17" fillId="3" borderId="10" xfId="0" applyNumberFormat="1"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0" borderId="12" xfId="0" applyFont="1" applyBorder="1" applyAlignment="1">
      <alignment horizontal="center" vertical="center" wrapText="1"/>
    </xf>
    <xf numFmtId="2" fontId="22" fillId="3" borderId="10" xfId="0" applyNumberFormat="1" applyFont="1" applyFill="1" applyBorder="1" applyAlignment="1">
      <alignment horizontal="center" vertical="center" wrapText="1"/>
    </xf>
    <xf numFmtId="0" fontId="3" fillId="0" borderId="8" xfId="3" applyFont="1" applyBorder="1" applyAlignment="1">
      <alignment horizontal="center" vertical="center" wrapText="1"/>
    </xf>
    <xf numFmtId="167" fontId="3" fillId="0" borderId="8" xfId="3" applyNumberFormat="1" applyFont="1" applyBorder="1" applyAlignment="1">
      <alignment vertical="center" wrapText="1"/>
    </xf>
    <xf numFmtId="0" fontId="3" fillId="0" borderId="8" xfId="3" applyFont="1" applyBorder="1" applyAlignment="1">
      <alignment vertical="center" wrapText="1"/>
    </xf>
    <xf numFmtId="0" fontId="3" fillId="0" borderId="5" xfId="3" applyFont="1" applyBorder="1" applyAlignment="1">
      <alignment vertical="center" wrapText="1"/>
    </xf>
    <xf numFmtId="0" fontId="3" fillId="0" borderId="0" xfId="3" applyFont="1" applyAlignment="1">
      <alignment vertical="center" wrapText="1"/>
    </xf>
    <xf numFmtId="166" fontId="2" fillId="0" borderId="0" xfId="5" applyFont="1" applyFill="1" applyBorder="1" applyAlignment="1" applyProtection="1">
      <alignment horizontal="center" vertical="center" wrapText="1"/>
    </xf>
    <xf numFmtId="0" fontId="2" fillId="0" borderId="0" xfId="3" applyAlignment="1">
      <alignment vertical="center" wrapText="1"/>
    </xf>
    <xf numFmtId="167" fontId="2" fillId="0" borderId="0" xfId="3" applyNumberFormat="1" applyAlignment="1">
      <alignment vertical="center" wrapText="1"/>
    </xf>
    <xf numFmtId="166" fontId="2" fillId="0" borderId="0" xfId="5" applyFont="1" applyBorder="1" applyAlignment="1" applyProtection="1">
      <alignment horizontal="center" vertical="center" wrapText="1"/>
    </xf>
    <xf numFmtId="166" fontId="2" fillId="0" borderId="16" xfId="5" applyFont="1" applyFill="1" applyBorder="1" applyAlignment="1" applyProtection="1">
      <alignment horizontal="center" vertical="center" wrapText="1"/>
    </xf>
    <xf numFmtId="0" fontId="2" fillId="0" borderId="0" xfId="0" applyFont="1" applyAlignment="1">
      <alignment horizontal="center" vertical="center" wrapText="1"/>
    </xf>
    <xf numFmtId="167"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66" fontId="7" fillId="4" borderId="16" xfId="5" applyFont="1" applyFill="1" applyBorder="1" applyAlignment="1" applyProtection="1">
      <alignment horizontal="center" vertical="center" wrapText="1"/>
    </xf>
    <xf numFmtId="166" fontId="7" fillId="0" borderId="0" xfId="5" applyFont="1" applyFill="1" applyBorder="1" applyAlignment="1" applyProtection="1">
      <alignment horizontal="center" vertical="center" wrapText="1"/>
    </xf>
    <xf numFmtId="0" fontId="3" fillId="0" borderId="4" xfId="3" applyFont="1" applyBorder="1" applyAlignment="1">
      <alignment horizontal="center" vertical="center" wrapText="1"/>
    </xf>
    <xf numFmtId="166" fontId="3" fillId="0" borderId="8" xfId="3" applyNumberFormat="1" applyFont="1" applyBorder="1" applyAlignment="1">
      <alignment vertical="center" wrapText="1"/>
    </xf>
    <xf numFmtId="166" fontId="2" fillId="0" borderId="0" xfId="5" applyFont="1" applyFill="1" applyBorder="1" applyAlignment="1" applyProtection="1">
      <alignment vertical="center" wrapText="1"/>
    </xf>
    <xf numFmtId="166" fontId="7" fillId="0" borderId="16" xfId="5" applyFont="1" applyFill="1" applyBorder="1" applyAlignment="1" applyProtection="1">
      <alignment horizontal="center" vertical="center" wrapText="1"/>
    </xf>
    <xf numFmtId="166" fontId="3" fillId="0" borderId="16" xfId="5" applyFont="1" applyFill="1" applyBorder="1" applyAlignment="1" applyProtection="1">
      <alignment horizontal="center" vertical="center" wrapText="1"/>
    </xf>
    <xf numFmtId="166" fontId="3" fillId="0" borderId="0" xfId="5" applyFont="1" applyFill="1" applyBorder="1" applyAlignment="1" applyProtection="1">
      <alignment horizontal="center" vertical="center" wrapText="1"/>
    </xf>
    <xf numFmtId="169" fontId="2" fillId="0" borderId="0" xfId="0" applyNumberFormat="1" applyFont="1" applyAlignment="1">
      <alignment horizontal="center" vertical="center" wrapText="1"/>
    </xf>
    <xf numFmtId="0" fontId="3" fillId="0" borderId="0" xfId="0" applyFont="1" applyAlignment="1">
      <alignment horizontal="center" vertical="center" wrapText="1"/>
    </xf>
    <xf numFmtId="166" fontId="3" fillId="0" borderId="8" xfId="3" applyNumberFormat="1"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wrapText="1"/>
    </xf>
    <xf numFmtId="0" fontId="3" fillId="0" borderId="0" xfId="0" applyFont="1" applyAlignment="1">
      <alignment horizontal="left" vertical="center" wrapText="1"/>
    </xf>
    <xf numFmtId="167" fontId="3" fillId="0" borderId="0" xfId="0" applyNumberFormat="1" applyFont="1" applyAlignment="1">
      <alignment horizontal="left" vertical="center" wrapText="1"/>
    </xf>
    <xf numFmtId="166" fontId="2" fillId="0" borderId="0" xfId="5" applyFont="1" applyBorder="1" applyAlignment="1" applyProtection="1">
      <alignment horizontal="center" vertical="center"/>
    </xf>
    <xf numFmtId="0" fontId="2" fillId="0" borderId="3" xfId="0" applyFont="1" applyBorder="1" applyAlignment="1">
      <alignment horizontal="center" vertical="center" wrapText="1"/>
    </xf>
    <xf numFmtId="166" fontId="5" fillId="0" borderId="16" xfId="5" applyFont="1" applyBorder="1" applyAlignment="1" applyProtection="1">
      <alignment horizontal="center" vertical="center" wrapText="1"/>
    </xf>
    <xf numFmtId="166" fontId="5" fillId="0" borderId="0" xfId="5" applyFont="1" applyFill="1" applyBorder="1" applyAlignment="1" applyProtection="1">
      <alignment horizontal="center" vertical="center" wrapText="1"/>
    </xf>
    <xf numFmtId="0" fontId="3" fillId="0" borderId="0" xfId="0" applyFont="1" applyAlignment="1">
      <alignment vertical="center" wrapText="1"/>
    </xf>
    <xf numFmtId="167" fontId="3" fillId="0" borderId="0" xfId="0" applyNumberFormat="1" applyFont="1" applyAlignment="1">
      <alignment vertical="center" wrapText="1"/>
    </xf>
    <xf numFmtId="166" fontId="3" fillId="0" borderId="0" xfId="0" applyNumberFormat="1" applyFont="1" applyAlignment="1">
      <alignment vertical="center" wrapText="1"/>
    </xf>
    <xf numFmtId="0" fontId="3" fillId="0" borderId="16" xfId="0" applyFont="1" applyBorder="1" applyAlignment="1">
      <alignment vertical="center" wrapText="1"/>
    </xf>
    <xf numFmtId="0" fontId="2" fillId="0" borderId="16" xfId="0" applyFont="1" applyBorder="1"/>
    <xf numFmtId="4" fontId="2" fillId="0" borderId="16" xfId="0" applyNumberFormat="1" applyFont="1" applyBorder="1" applyAlignment="1">
      <alignment horizontal="center" vertical="center" wrapText="1"/>
    </xf>
    <xf numFmtId="4" fontId="2" fillId="0" borderId="0" xfId="0" applyNumberFormat="1" applyFont="1" applyAlignment="1">
      <alignment horizontal="center" vertical="center" wrapText="1"/>
    </xf>
    <xf numFmtId="0" fontId="2" fillId="0" borderId="0" xfId="0" applyFont="1" applyAlignment="1">
      <alignment horizontal="left" vertical="center"/>
    </xf>
    <xf numFmtId="167" fontId="2" fillId="0" borderId="3" xfId="0" applyNumberFormat="1" applyFont="1" applyBorder="1" applyAlignment="1">
      <alignment horizontal="center" vertical="center" wrapText="1"/>
    </xf>
    <xf numFmtId="166" fontId="2" fillId="0" borderId="3" xfId="5" applyFont="1" applyFill="1" applyBorder="1" applyAlignment="1" applyProtection="1">
      <alignment horizontal="center" vertical="center" wrapText="1"/>
    </xf>
    <xf numFmtId="166" fontId="2" fillId="0" borderId="3" xfId="5" applyFont="1" applyBorder="1" applyAlignment="1" applyProtection="1">
      <alignment horizontal="center" vertical="center" wrapText="1"/>
    </xf>
    <xf numFmtId="166" fontId="2" fillId="0" borderId="18" xfId="5" applyFont="1" applyFill="1" applyBorder="1" applyAlignment="1" applyProtection="1">
      <alignment horizontal="center" vertical="center" wrapText="1"/>
    </xf>
    <xf numFmtId="167" fontId="3" fillId="0" borderId="3" xfId="3" applyNumberFormat="1" applyFont="1" applyBorder="1" applyAlignment="1">
      <alignment vertical="center" wrapText="1"/>
    </xf>
    <xf numFmtId="0" fontId="3" fillId="0" borderId="3" xfId="3" applyFont="1" applyBorder="1" applyAlignment="1">
      <alignment vertical="center" wrapText="1"/>
    </xf>
    <xf numFmtId="0" fontId="3" fillId="0" borderId="18" xfId="3" applyFont="1" applyBorder="1" applyAlignment="1">
      <alignment vertical="center" wrapText="1"/>
    </xf>
    <xf numFmtId="166" fontId="2" fillId="0" borderId="16" xfId="5" applyFont="1" applyBorder="1" applyAlignment="1" applyProtection="1">
      <alignment horizontal="center" vertical="center"/>
    </xf>
    <xf numFmtId="166" fontId="2" fillId="0" borderId="0" xfId="5" applyFont="1" applyFill="1" applyBorder="1" applyAlignment="1" applyProtection="1">
      <alignment horizontal="center" vertical="center"/>
    </xf>
    <xf numFmtId="166" fontId="2" fillId="0" borderId="0" xfId="0" applyNumberFormat="1" applyFont="1" applyAlignment="1">
      <alignment horizontal="center" vertical="center" wrapText="1"/>
    </xf>
    <xf numFmtId="166" fontId="2" fillId="0" borderId="3" xfId="5" applyFont="1" applyBorder="1" applyAlignment="1" applyProtection="1">
      <alignment horizontal="center" vertical="center"/>
    </xf>
    <xf numFmtId="166" fontId="2" fillId="0" borderId="18" xfId="5" applyFont="1" applyBorder="1" applyAlignment="1" applyProtection="1">
      <alignment horizontal="center" vertical="center"/>
    </xf>
    <xf numFmtId="0" fontId="3" fillId="0" borderId="8" xfId="3" applyFont="1" applyBorder="1" applyAlignment="1">
      <alignment horizontal="center" vertical="center"/>
    </xf>
    <xf numFmtId="0" fontId="2" fillId="0" borderId="0" xfId="3" applyAlignment="1">
      <alignment vertical="center"/>
    </xf>
    <xf numFmtId="0" fontId="2" fillId="0" borderId="3" xfId="0" applyFont="1" applyBorder="1" applyAlignment="1">
      <alignment horizontal="center" vertical="center"/>
    </xf>
    <xf numFmtId="0" fontId="10" fillId="3" borderId="0" xfId="0" applyFont="1" applyFill="1" applyAlignment="1">
      <alignment horizontal="centerContinuous" vertical="center"/>
    </xf>
    <xf numFmtId="0" fontId="10" fillId="0" borderId="0" xfId="0" applyFont="1" applyAlignment="1">
      <alignment horizontal="centerContinuous" vertical="center"/>
    </xf>
    <xf numFmtId="0" fontId="8" fillId="0" borderId="0" xfId="0" applyFont="1" applyAlignment="1">
      <alignment vertical="center"/>
    </xf>
    <xf numFmtId="168" fontId="8" fillId="0" borderId="0" xfId="0" applyNumberFormat="1" applyFont="1" applyAlignment="1">
      <alignment vertical="center" wrapText="1"/>
    </xf>
    <xf numFmtId="0" fontId="25" fillId="0" borderId="3" xfId="0" applyFont="1" applyBorder="1" applyAlignment="1">
      <alignment vertical="center" wrapText="1"/>
    </xf>
    <xf numFmtId="0" fontId="26" fillId="0" borderId="3" xfId="0" applyFont="1" applyBorder="1" applyAlignment="1">
      <alignment vertical="center" wrapText="1"/>
    </xf>
    <xf numFmtId="0" fontId="26" fillId="0" borderId="0" xfId="0" applyFont="1" applyAlignment="1">
      <alignment vertical="center" wrapText="1"/>
    </xf>
    <xf numFmtId="168" fontId="25" fillId="0" borderId="3" xfId="0" applyNumberFormat="1" applyFont="1" applyBorder="1" applyAlignment="1">
      <alignment vertical="center" wrapText="1"/>
    </xf>
    <xf numFmtId="168" fontId="22" fillId="3" borderId="10" xfId="0" applyNumberFormat="1" applyFont="1" applyFill="1" applyBorder="1" applyAlignment="1">
      <alignment horizontal="center" vertical="center" wrapText="1"/>
    </xf>
    <xf numFmtId="0" fontId="3" fillId="0" borderId="3" xfId="3" applyFont="1" applyBorder="1" applyAlignment="1">
      <alignment horizontal="center" vertical="center" wrapText="1"/>
    </xf>
    <xf numFmtId="170" fontId="3" fillId="0" borderId="3" xfId="3" applyNumberFormat="1" applyFont="1" applyBorder="1" applyAlignment="1">
      <alignment vertical="center" wrapText="1"/>
    </xf>
    <xf numFmtId="170" fontId="2" fillId="0" borderId="0" xfId="3" applyNumberFormat="1" applyAlignment="1">
      <alignment vertical="center" wrapText="1"/>
    </xf>
    <xf numFmtId="170" fontId="2" fillId="0" borderId="0" xfId="0" applyNumberFormat="1" applyFont="1" applyAlignment="1">
      <alignment horizontal="center" vertical="center" wrapText="1"/>
    </xf>
    <xf numFmtId="170" fontId="3" fillId="0" borderId="8" xfId="3" applyNumberFormat="1" applyFont="1" applyBorder="1" applyAlignment="1">
      <alignment vertical="center" wrapText="1"/>
    </xf>
    <xf numFmtId="166" fontId="0" fillId="0" borderId="0" xfId="0" applyNumberFormat="1"/>
    <xf numFmtId="170" fontId="2" fillId="0" borderId="3" xfId="0" applyNumberFormat="1" applyFont="1" applyBorder="1" applyAlignment="1">
      <alignment horizontal="center" vertical="center" wrapText="1"/>
    </xf>
    <xf numFmtId="166" fontId="0" fillId="0" borderId="0" xfId="0" applyNumberFormat="1" applyAlignment="1">
      <alignment horizontal="center" vertical="center"/>
    </xf>
    <xf numFmtId="166" fontId="2" fillId="0" borderId="0" xfId="5" applyFont="1" applyFill="1" applyBorder="1" applyAlignment="1">
      <alignment vertical="center" wrapText="1"/>
    </xf>
    <xf numFmtId="166" fontId="2" fillId="0" borderId="0" xfId="5" applyFont="1" applyFill="1" applyBorder="1" applyAlignment="1">
      <alignment horizontal="center" vertical="center" wrapText="1"/>
    </xf>
    <xf numFmtId="166" fontId="0" fillId="0" borderId="0" xfId="0" applyNumberFormat="1" applyProtection="1">
      <protection locked="0"/>
    </xf>
    <xf numFmtId="166" fontId="2" fillId="0" borderId="16" xfId="5"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10" fillId="3" borderId="0" xfId="0" applyFont="1" applyFill="1" applyAlignment="1">
      <alignment horizontal="centerContinuous" vertical="center" wrapText="1"/>
    </xf>
    <xf numFmtId="0" fontId="10" fillId="3" borderId="0" xfId="0" applyFont="1" applyFill="1" applyAlignment="1" applyProtection="1">
      <alignment horizontal="centerContinuous" vertical="center"/>
      <protection locked="0"/>
    </xf>
    <xf numFmtId="0" fontId="13" fillId="3" borderId="0" xfId="0" applyFont="1" applyFill="1" applyAlignment="1" applyProtection="1">
      <alignment horizontal="centerContinuous" vertical="center"/>
      <protection locked="0"/>
    </xf>
    <xf numFmtId="0" fontId="27" fillId="5" borderId="0" xfId="0" applyFont="1" applyFill="1" applyAlignment="1" applyProtection="1">
      <alignment horizontal="centerContinuous" vertical="center" wrapText="1"/>
      <protection locked="0"/>
    </xf>
    <xf numFmtId="0" fontId="28" fillId="5" borderId="3" xfId="0" applyFont="1" applyFill="1" applyBorder="1" applyAlignment="1" applyProtection="1">
      <alignment horizontal="center" vertical="center" wrapText="1"/>
      <protection locked="0"/>
    </xf>
    <xf numFmtId="0" fontId="28" fillId="5" borderId="3" xfId="0" applyFont="1" applyFill="1" applyBorder="1" applyAlignment="1" applyProtection="1">
      <alignment vertical="center" wrapText="1"/>
      <protection locked="0"/>
    </xf>
    <xf numFmtId="171" fontId="28" fillId="5" borderId="3" xfId="0" applyNumberFormat="1" applyFont="1" applyFill="1" applyBorder="1" applyAlignment="1" applyProtection="1">
      <alignment horizontal="centerContinuous" vertical="center" wrapText="1"/>
      <protection locked="0"/>
    </xf>
    <xf numFmtId="0" fontId="28" fillId="5" borderId="3" xfId="0" applyFont="1" applyFill="1" applyBorder="1" applyAlignment="1" applyProtection="1">
      <alignment horizontal="centerContinuous" vertical="center" wrapText="1"/>
      <protection locked="0"/>
    </xf>
    <xf numFmtId="0" fontId="17" fillId="0" borderId="0" xfId="0" applyFont="1" applyAlignment="1" applyProtection="1">
      <alignment horizontal="center" vertical="center" wrapText="1"/>
      <protection locked="0"/>
    </xf>
    <xf numFmtId="3" fontId="2" fillId="0" borderId="6" xfId="4" applyNumberFormat="1" applyFont="1" applyFill="1" applyBorder="1" applyAlignment="1" applyProtection="1">
      <alignment horizontal="center" vertical="center" wrapText="1"/>
      <protection locked="0"/>
    </xf>
    <xf numFmtId="49" fontId="2" fillId="0" borderId="7" xfId="4" applyNumberFormat="1" applyFont="1" applyFill="1" applyBorder="1" applyAlignment="1" applyProtection="1">
      <alignment horizontal="left" vertical="center" wrapText="1"/>
      <protection locked="0"/>
    </xf>
    <xf numFmtId="4" fontId="2" fillId="0" borderId="7" xfId="4" applyNumberFormat="1" applyFont="1" applyFill="1" applyBorder="1" applyAlignment="1" applyProtection="1">
      <alignment horizontal="center" vertical="center" wrapText="1"/>
      <protection locked="0"/>
    </xf>
    <xf numFmtId="0" fontId="0" fillId="0" borderId="0" xfId="0" applyProtection="1">
      <protection locked="0"/>
    </xf>
    <xf numFmtId="0" fontId="2" fillId="0" borderId="0" xfId="0" applyFont="1" applyAlignment="1" applyProtection="1">
      <alignment horizontal="left" vertical="center" wrapText="1"/>
      <protection locked="0"/>
    </xf>
    <xf numFmtId="2" fontId="3" fillId="0" borderId="0" xfId="1" applyNumberFormat="1" applyFont="1" applyAlignment="1" applyProtection="1">
      <alignment horizontal="right"/>
      <protection locked="0"/>
    </xf>
    <xf numFmtId="43" fontId="2" fillId="0" borderId="0" xfId="1" applyFont="1" applyProtection="1">
      <protection locked="0"/>
    </xf>
    <xf numFmtId="43" fontId="2" fillId="0" borderId="0" xfId="1" applyFont="1" applyAlignment="1" applyProtection="1">
      <alignment horizontal="right"/>
      <protection locked="0"/>
    </xf>
    <xf numFmtId="2" fontId="2" fillId="0" borderId="0" xfId="1" applyNumberFormat="1" applyFont="1" applyAlignment="1" applyProtection="1">
      <alignment horizontal="centerContinuous" wrapText="1"/>
      <protection locked="0"/>
    </xf>
    <xf numFmtId="43" fontId="2" fillId="0" borderId="0" xfId="1" applyFont="1" applyAlignment="1" applyProtection="1">
      <alignment horizontal="centerContinuous" wrapText="1"/>
      <protection locked="0"/>
    </xf>
    <xf numFmtId="0" fontId="10" fillId="3" borderId="0" xfId="0" applyFont="1" applyFill="1" applyAlignment="1" applyProtection="1">
      <alignment horizontal="centerContinuous" vertical="center" wrapText="1"/>
      <protection locked="0"/>
    </xf>
    <xf numFmtId="0" fontId="13" fillId="3" borderId="0" xfId="0" applyFont="1" applyFill="1" applyAlignment="1" applyProtection="1">
      <alignment horizontal="centerContinuous" vertical="center" wrapText="1"/>
      <protection locked="0"/>
    </xf>
    <xf numFmtId="0" fontId="18" fillId="5" borderId="3" xfId="0" applyFont="1" applyFill="1" applyBorder="1" applyAlignment="1" applyProtection="1">
      <alignment horizontal="center" vertical="center" wrapText="1"/>
      <protection locked="0"/>
    </xf>
    <xf numFmtId="0" fontId="18" fillId="5" borderId="0" xfId="0" applyFont="1" applyFill="1" applyAlignment="1" applyProtection="1">
      <alignment horizontal="center" vertical="center" wrapText="1"/>
      <protection locked="0"/>
    </xf>
    <xf numFmtId="10" fontId="2" fillId="0" borderId="7" xfId="0" applyNumberFormat="1" applyFont="1" applyBorder="1" applyAlignment="1" applyProtection="1">
      <alignment horizontal="center" vertical="center"/>
      <protection locked="0"/>
    </xf>
    <xf numFmtId="0" fontId="26" fillId="0" borderId="3" xfId="0" applyFont="1" applyBorder="1" applyAlignment="1">
      <alignment vertical="center"/>
    </xf>
    <xf numFmtId="0" fontId="17" fillId="3" borderId="2" xfId="0" applyFont="1" applyFill="1" applyBorder="1" applyAlignment="1">
      <alignment horizontal="center" vertical="center"/>
    </xf>
    <xf numFmtId="169" fontId="2" fillId="0" borderId="0" xfId="0" applyNumberFormat="1" applyFont="1" applyAlignment="1">
      <alignment horizontal="center" vertical="center"/>
    </xf>
    <xf numFmtId="0" fontId="14" fillId="3" borderId="0" xfId="0" applyFont="1" applyFill="1" applyAlignment="1">
      <alignment horizontal="centerContinuous" vertical="center"/>
    </xf>
    <xf numFmtId="0" fontId="15" fillId="0" borderId="0" xfId="0" applyFont="1" applyAlignment="1">
      <alignment horizontal="centerContinuous" vertical="center"/>
    </xf>
    <xf numFmtId="0" fontId="3" fillId="0" borderId="17" xfId="3" applyFont="1" applyBorder="1" applyAlignment="1">
      <alignment horizontal="center" vertical="center" wrapText="1"/>
    </xf>
    <xf numFmtId="0" fontId="10" fillId="3" borderId="0" xfId="0" applyFont="1" applyFill="1" applyAlignment="1" applyProtection="1">
      <alignment horizontal="centerContinuous" vertical="center" wrapText="1"/>
    </xf>
    <xf numFmtId="166" fontId="2" fillId="0" borderId="7" xfId="5" applyFont="1" applyFill="1" applyBorder="1" applyAlignment="1" applyProtection="1">
      <alignment vertical="center" wrapText="1"/>
    </xf>
    <xf numFmtId="166" fontId="2" fillId="0" borderId="7" xfId="5" applyFont="1" applyFill="1" applyBorder="1" applyAlignment="1" applyProtection="1">
      <alignment horizontal="right" vertical="center" wrapText="1"/>
    </xf>
    <xf numFmtId="10" fontId="2" fillId="0" borderId="7" xfId="2" applyNumberFormat="1" applyFont="1" applyFill="1" applyBorder="1" applyAlignment="1" applyProtection="1">
      <alignment horizontal="center" vertical="center" wrapText="1"/>
    </xf>
    <xf numFmtId="166" fontId="2" fillId="0" borderId="7" xfId="5" applyFont="1" applyFill="1" applyBorder="1" applyAlignment="1" applyProtection="1">
      <alignment horizontal="center" vertical="center" wrapText="1"/>
    </xf>
    <xf numFmtId="174" fontId="29" fillId="2" borderId="0" xfId="1" applyNumberFormat="1" applyFont="1" applyFill="1" applyBorder="1" applyAlignment="1" applyProtection="1">
      <alignment horizontal="right" wrapText="1"/>
    </xf>
    <xf numFmtId="174" fontId="29" fillId="2" borderId="3" xfId="1" applyNumberFormat="1" applyFont="1" applyFill="1" applyBorder="1" applyAlignment="1" applyProtection="1">
      <alignment horizontal="right" wrapText="1"/>
    </xf>
    <xf numFmtId="172" fontId="29" fillId="2" borderId="20" xfId="0" applyNumberFormat="1" applyFont="1" applyFill="1" applyBorder="1" applyAlignment="1" applyProtection="1">
      <alignment horizontal="center" wrapText="1"/>
    </xf>
    <xf numFmtId="172" fontId="29" fillId="2" borderId="4" xfId="0" applyNumberFormat="1" applyFont="1" applyFill="1" applyBorder="1" applyAlignment="1" applyProtection="1">
      <alignment horizontal="center" wrapText="1"/>
    </xf>
    <xf numFmtId="10" fontId="29" fillId="2" borderId="20" xfId="2" applyNumberFormat="1" applyFont="1" applyFill="1" applyBorder="1" applyAlignment="1" applyProtection="1">
      <alignment wrapText="1"/>
    </xf>
    <xf numFmtId="173" fontId="29" fillId="2" borderId="19" xfId="0" applyNumberFormat="1" applyFont="1" applyFill="1" applyBorder="1" applyAlignment="1" applyProtection="1">
      <alignment horizontal="center" wrapText="1"/>
    </xf>
    <xf numFmtId="0" fontId="9" fillId="0" borderId="0" xfId="6" applyNumberFormat="1" applyBorder="1" applyAlignment="1" applyProtection="1">
      <alignment horizontal="left" vertical="center" wrapText="1"/>
    </xf>
    <xf numFmtId="0" fontId="23" fillId="0" borderId="0" xfId="6" applyFont="1" applyBorder="1" applyAlignment="1" applyProtection="1">
      <alignment wrapText="1"/>
    </xf>
    <xf numFmtId="0" fontId="9" fillId="0" borderId="0" xfId="6" applyBorder="1" applyAlignment="1" applyProtection="1">
      <alignment wrapText="1"/>
    </xf>
    <xf numFmtId="0" fontId="6" fillId="0" borderId="4" xfId="3" applyFont="1" applyBorder="1" applyAlignment="1">
      <alignment horizontal="center" vertical="center" wrapText="1"/>
    </xf>
    <xf numFmtId="0" fontId="3" fillId="0" borderId="0" xfId="0" applyFont="1" applyAlignment="1">
      <alignment wrapText="1"/>
    </xf>
    <xf numFmtId="49" fontId="2" fillId="0" borderId="0" xfId="0" applyNumberFormat="1" applyFont="1" applyAlignment="1">
      <alignment horizontal="center" vertical="center" wrapText="1"/>
    </xf>
    <xf numFmtId="2" fontId="2" fillId="0" borderId="0" xfId="3" applyNumberFormat="1" applyAlignment="1">
      <alignment vertical="center" wrapText="1"/>
    </xf>
    <xf numFmtId="0" fontId="2" fillId="0" borderId="0" xfId="0" applyFont="1" applyAlignment="1">
      <alignment horizontal="left" vertical="center" wrapText="1"/>
    </xf>
    <xf numFmtId="0" fontId="24" fillId="0" borderId="0" xfId="6" applyNumberFormat="1" applyFont="1" applyFill="1" applyBorder="1" applyAlignment="1" applyProtection="1">
      <alignment horizontal="center" vertical="center" wrapText="1"/>
    </xf>
    <xf numFmtId="0" fontId="24" fillId="0" borderId="0" xfId="6" applyFont="1" applyBorder="1" applyAlignment="1" applyProtection="1">
      <alignment wrapText="1"/>
    </xf>
    <xf numFmtId="2" fontId="31" fillId="3" borderId="0" xfId="5" applyNumberFormat="1" applyFont="1" applyFill="1" applyBorder="1" applyAlignment="1" applyProtection="1">
      <alignment horizontal="center" vertical="center" wrapText="1"/>
    </xf>
    <xf numFmtId="168" fontId="31" fillId="3" borderId="0" xfId="5" applyNumberFormat="1" applyFont="1" applyFill="1" applyBorder="1" applyAlignment="1" applyProtection="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center" vertical="center"/>
    </xf>
    <xf numFmtId="170" fontId="2" fillId="0" borderId="0" xfId="0" applyNumberFormat="1" applyFont="1" applyBorder="1" applyAlignment="1">
      <alignment horizontal="center" vertical="center" wrapText="1"/>
    </xf>
    <xf numFmtId="0" fontId="2" fillId="0" borderId="0" xfId="3" applyBorder="1" applyAlignment="1">
      <alignment vertical="center" wrapText="1"/>
    </xf>
    <xf numFmtId="167" fontId="2" fillId="0" borderId="0" xfId="3" applyNumberFormat="1" applyBorder="1" applyAlignment="1">
      <alignment vertical="center" wrapText="1"/>
    </xf>
    <xf numFmtId="0" fontId="2" fillId="0" borderId="0" xfId="0" applyFont="1" applyBorder="1" applyAlignment="1">
      <alignment horizontal="center" vertical="center" wrapText="1"/>
    </xf>
    <xf numFmtId="167" fontId="2" fillId="0" borderId="0" xfId="0" applyNumberFormat="1" applyFont="1" applyBorder="1" applyAlignment="1">
      <alignment horizontal="center" vertical="center" wrapText="1"/>
    </xf>
    <xf numFmtId="169" fontId="2" fillId="0" borderId="0" xfId="0" applyNumberFormat="1" applyFont="1" applyBorder="1" applyAlignment="1">
      <alignment horizontal="center" vertical="center" wrapText="1"/>
    </xf>
    <xf numFmtId="169" fontId="2" fillId="0" borderId="3" xfId="0" applyNumberFormat="1" applyFont="1" applyBorder="1" applyAlignment="1">
      <alignment horizontal="center" vertical="center" wrapText="1"/>
    </xf>
    <xf numFmtId="0" fontId="3" fillId="0" borderId="17" xfId="3" applyFont="1" applyBorder="1" applyAlignment="1">
      <alignment horizontal="center" vertical="center" wrapText="1"/>
    </xf>
    <xf numFmtId="0" fontId="2" fillId="0" borderId="0" xfId="3" applyFont="1" applyAlignment="1">
      <alignment vertical="center" wrapText="1"/>
    </xf>
    <xf numFmtId="167" fontId="2" fillId="0" borderId="0" xfId="3" applyNumberFormat="1" applyFont="1" applyAlignment="1">
      <alignment vertical="center" wrapText="1"/>
    </xf>
    <xf numFmtId="0" fontId="2" fillId="0" borderId="0" xfId="3" applyFont="1" applyBorder="1" applyAlignment="1">
      <alignment vertical="center" wrapText="1"/>
    </xf>
    <xf numFmtId="167" fontId="2" fillId="0" borderId="0" xfId="3" applyNumberFormat="1" applyFont="1" applyBorder="1" applyAlignment="1">
      <alignment vertical="center" wrapText="1"/>
    </xf>
    <xf numFmtId="0" fontId="2" fillId="0" borderId="0" xfId="0" applyFont="1" applyFill="1" applyAlignment="1">
      <alignment horizontal="center" vertical="center" wrapText="1"/>
    </xf>
    <xf numFmtId="167" fontId="2"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169" fontId="2" fillId="0" borderId="0" xfId="0" applyNumberFormat="1" applyFont="1" applyFill="1" applyAlignment="1">
      <alignment horizontal="center" vertical="center" wrapText="1"/>
    </xf>
    <xf numFmtId="0" fontId="3" fillId="0" borderId="4" xfId="3" applyFont="1" applyFill="1" applyBorder="1" applyAlignment="1">
      <alignment horizontal="center" vertical="center" wrapText="1"/>
    </xf>
    <xf numFmtId="0" fontId="3" fillId="0" borderId="8" xfId="3" applyFont="1" applyFill="1" applyBorder="1" applyAlignment="1">
      <alignment horizontal="center" vertical="center" wrapText="1"/>
    </xf>
    <xf numFmtId="167" fontId="3" fillId="0" borderId="8" xfId="3" applyNumberFormat="1" applyFont="1" applyFill="1" applyBorder="1" applyAlignment="1">
      <alignment vertical="center" wrapText="1"/>
    </xf>
    <xf numFmtId="0" fontId="2" fillId="0" borderId="0" xfId="3" applyFill="1" applyAlignment="1">
      <alignment vertical="center" wrapText="1"/>
    </xf>
    <xf numFmtId="167" fontId="2" fillId="0" borderId="0" xfId="3" applyNumberFormat="1" applyFill="1" applyAlignment="1">
      <alignment vertical="center" wrapText="1"/>
    </xf>
    <xf numFmtId="164" fontId="0" fillId="0" borderId="0" xfId="0" applyNumberFormat="1"/>
    <xf numFmtId="10" fontId="0" fillId="0" borderId="0" xfId="2" applyNumberFormat="1" applyFont="1"/>
    <xf numFmtId="0" fontId="17" fillId="3" borderId="1" xfId="0" applyFont="1" applyFill="1" applyBorder="1" applyAlignment="1" applyProtection="1">
      <alignment horizontal="center" vertical="center" wrapText="1"/>
    </xf>
    <xf numFmtId="0" fontId="17" fillId="3" borderId="2" xfId="0" applyFont="1" applyFill="1" applyBorder="1" applyAlignment="1" applyProtection="1">
      <alignment horizontal="center" vertical="center" wrapText="1"/>
    </xf>
    <xf numFmtId="2" fontId="17" fillId="3" borderId="2" xfId="1" applyNumberFormat="1" applyFont="1" applyFill="1" applyBorder="1" applyAlignment="1" applyProtection="1">
      <alignment horizontal="center" vertical="center" wrapText="1"/>
    </xf>
    <xf numFmtId="43" fontId="17" fillId="3" borderId="2" xfId="1" applyFont="1" applyFill="1" applyBorder="1" applyAlignment="1" applyProtection="1">
      <alignment horizontal="center" vertical="center" wrapText="1"/>
    </xf>
    <xf numFmtId="3" fontId="2" fillId="0" borderId="6" xfId="4" applyNumberFormat="1" applyFont="1" applyFill="1" applyBorder="1" applyAlignment="1" applyProtection="1">
      <alignment horizontal="center" vertical="center" wrapText="1"/>
    </xf>
    <xf numFmtId="49" fontId="2" fillId="0" borderId="7" xfId="4" applyNumberFormat="1" applyFont="1" applyFill="1" applyBorder="1" applyAlignment="1" applyProtection="1">
      <alignment horizontal="left" vertical="center" wrapText="1"/>
    </xf>
    <xf numFmtId="4" fontId="2" fillId="0" borderId="7" xfId="4" applyNumberFormat="1" applyFont="1" applyFill="1" applyBorder="1" applyAlignment="1" applyProtection="1">
      <alignment horizontal="center" vertical="center" wrapText="1"/>
    </xf>
    <xf numFmtId="172" fontId="21" fillId="2" borderId="19" xfId="0" applyNumberFormat="1" applyFont="1" applyFill="1" applyBorder="1" applyAlignment="1" applyProtection="1">
      <alignment vertical="center" wrapText="1"/>
    </xf>
    <xf numFmtId="49" fontId="21" fillId="2" borderId="20" xfId="0" applyNumberFormat="1" applyFont="1" applyFill="1" applyBorder="1" applyAlignment="1" applyProtection="1">
      <alignment vertical="center" wrapText="1"/>
    </xf>
    <xf numFmtId="172" fontId="21" fillId="2" borderId="20" xfId="0" applyNumberFormat="1" applyFont="1" applyFill="1" applyBorder="1" applyAlignment="1" applyProtection="1">
      <alignment vertical="center" wrapText="1"/>
    </xf>
    <xf numFmtId="172" fontId="29" fillId="2" borderId="20" xfId="0" applyNumberFormat="1" applyFont="1" applyFill="1" applyBorder="1" applyAlignment="1" applyProtection="1">
      <alignment vertical="center" wrapText="1"/>
    </xf>
    <xf numFmtId="10" fontId="2" fillId="2" borderId="21" xfId="2" applyNumberFormat="1" applyFont="1" applyFill="1" applyBorder="1" applyAlignment="1" applyProtection="1">
      <alignment horizontal="center" vertical="center" wrapText="1"/>
    </xf>
    <xf numFmtId="166" fontId="2" fillId="2" borderId="21" xfId="5" applyFont="1" applyFill="1" applyBorder="1" applyAlignment="1" applyProtection="1">
      <alignment horizontal="center" vertical="center" wrapText="1"/>
    </xf>
    <xf numFmtId="166" fontId="2" fillId="2" borderId="0" xfId="5" applyFont="1" applyFill="1" applyBorder="1" applyAlignment="1" applyProtection="1">
      <alignment horizontal="right" vertical="center" wrapText="1"/>
    </xf>
    <xf numFmtId="172" fontId="29" fillId="2" borderId="20" xfId="0" applyNumberFormat="1" applyFont="1" applyFill="1" applyBorder="1" applyAlignment="1" applyProtection="1">
      <alignment wrapText="1"/>
    </xf>
    <xf numFmtId="172" fontId="29" fillId="2" borderId="20" xfId="0" applyNumberFormat="1" applyFont="1" applyFill="1" applyBorder="1" applyAlignment="1" applyProtection="1">
      <alignment horizontal="centerContinuous" wrapText="1"/>
    </xf>
    <xf numFmtId="172" fontId="29" fillId="2" borderId="4" xfId="0" applyNumberFormat="1" applyFont="1" applyFill="1" applyBorder="1" applyAlignment="1" applyProtection="1">
      <alignment wrapText="1"/>
    </xf>
    <xf numFmtId="172" fontId="29" fillId="2" borderId="8" xfId="0" applyNumberFormat="1" applyFont="1" applyFill="1" applyBorder="1" applyAlignment="1" applyProtection="1">
      <alignment wrapText="1"/>
    </xf>
    <xf numFmtId="172" fontId="29" fillId="2" borderId="8" xfId="0" applyNumberFormat="1" applyFont="1" applyFill="1" applyBorder="1" applyAlignment="1" applyProtection="1">
      <alignment horizontal="centerContinuous" wrapText="1"/>
    </xf>
    <xf numFmtId="172" fontId="29" fillId="2" borderId="4" xfId="0" applyNumberFormat="1" applyFont="1" applyFill="1" applyBorder="1" applyAlignment="1" applyProtection="1">
      <alignment horizontal="centerContinuous" wrapText="1"/>
    </xf>
    <xf numFmtId="0" fontId="17" fillId="3" borderId="4" xfId="0" applyFont="1" applyFill="1" applyBorder="1" applyAlignment="1" applyProtection="1">
      <alignment horizontal="centerContinuous" vertical="center"/>
    </xf>
    <xf numFmtId="0" fontId="17" fillId="3" borderId="8" xfId="0" applyFont="1" applyFill="1" applyBorder="1" applyAlignment="1" applyProtection="1">
      <alignment horizontal="centerContinuous" vertical="center"/>
    </xf>
    <xf numFmtId="0" fontId="2" fillId="0" borderId="22" xfId="0" applyFont="1" applyBorder="1" applyAlignment="1" applyProtection="1">
      <alignment vertical="center"/>
    </xf>
    <xf numFmtId="0" fontId="30" fillId="0" borderId="24" xfId="0" applyFont="1" applyBorder="1" applyAlignment="1" applyProtection="1">
      <alignment horizontal="center" vertical="center"/>
    </xf>
    <xf numFmtId="0" fontId="28" fillId="0" borderId="0" xfId="0" applyFont="1" applyAlignment="1" applyProtection="1">
      <alignment horizontal="center" vertical="center"/>
    </xf>
    <xf numFmtId="0" fontId="21" fillId="0" borderId="26" xfId="0" applyFont="1" applyBorder="1" applyAlignment="1" applyProtection="1">
      <alignment horizontal="center" vertical="center"/>
    </xf>
    <xf numFmtId="0" fontId="11" fillId="0" borderId="7" xfId="0" applyFont="1" applyBorder="1" applyAlignment="1" applyProtection="1">
      <alignment horizontal="center" vertical="center"/>
    </xf>
    <xf numFmtId="0" fontId="22" fillId="0" borderId="6" xfId="0" applyFont="1" applyBorder="1" applyAlignment="1" applyProtection="1">
      <alignment horizontal="center" vertical="center"/>
    </xf>
    <xf numFmtId="0" fontId="2" fillId="0" borderId="0" xfId="0" applyFont="1" applyAlignment="1" applyProtection="1">
      <alignment horizontal="center" vertical="center"/>
    </xf>
    <xf numFmtId="0" fontId="3" fillId="3" borderId="19" xfId="0" applyFont="1" applyFill="1" applyBorder="1" applyAlignment="1" applyProtection="1">
      <alignment horizontal="center" vertical="center" wrapText="1"/>
    </xf>
    <xf numFmtId="10" fontId="3" fillId="3" borderId="20" xfId="0" applyNumberFormat="1" applyFont="1" applyFill="1" applyBorder="1" applyAlignment="1" applyProtection="1">
      <alignment horizontal="center" vertical="center"/>
    </xf>
    <xf numFmtId="0" fontId="3" fillId="3" borderId="17" xfId="0" applyFont="1" applyFill="1" applyBorder="1" applyAlignment="1" applyProtection="1">
      <alignment horizontal="center" vertical="center"/>
    </xf>
    <xf numFmtId="0" fontId="2" fillId="0" borderId="13" xfId="0" applyFont="1" applyBorder="1" applyAlignment="1" applyProtection="1">
      <alignment vertical="center"/>
    </xf>
    <xf numFmtId="0" fontId="2" fillId="0" borderId="0" xfId="0" applyFont="1" applyAlignment="1" applyProtection="1">
      <alignment vertical="center"/>
    </xf>
    <xf numFmtId="0" fontId="7" fillId="0" borderId="0" xfId="0" applyFont="1" applyAlignment="1" applyProtection="1">
      <alignment horizontal="center" vertical="center"/>
    </xf>
    <xf numFmtId="10" fontId="7" fillId="0" borderId="0" xfId="0" applyNumberFormat="1" applyFont="1" applyAlignment="1" applyProtection="1">
      <alignment horizontal="center" vertical="center"/>
    </xf>
    <xf numFmtId="0" fontId="0" fillId="0" borderId="0" xfId="0" applyProtection="1"/>
    <xf numFmtId="0" fontId="0" fillId="0" borderId="0" xfId="0" applyAlignment="1" applyProtection="1">
      <alignment horizontal="center"/>
    </xf>
    <xf numFmtId="3" fontId="3" fillId="0" borderId="14" xfId="3" applyNumberFormat="1" applyFont="1" applyBorder="1" applyAlignment="1">
      <alignment horizontal="center" vertical="center"/>
    </xf>
    <xf numFmtId="0" fontId="3" fillId="0" borderId="13" xfId="3" applyFont="1" applyBorder="1" applyAlignment="1">
      <alignment horizontal="center" vertical="center"/>
    </xf>
    <xf numFmtId="0" fontId="3" fillId="0" borderId="17" xfId="3" applyFont="1" applyBorder="1" applyAlignment="1">
      <alignment horizontal="center" vertical="center"/>
    </xf>
    <xf numFmtId="0" fontId="3" fillId="0" borderId="15" xfId="3" applyFont="1" applyBorder="1" applyAlignment="1">
      <alignment horizontal="center" vertical="center" wrapText="1"/>
    </xf>
    <xf numFmtId="0" fontId="3" fillId="0" borderId="0" xfId="3" applyFont="1" applyAlignment="1">
      <alignment horizontal="center" vertical="center" wrapText="1"/>
    </xf>
    <xf numFmtId="0" fontId="3" fillId="0" borderId="3" xfId="3" applyFont="1" applyBorder="1" applyAlignment="1">
      <alignment horizontal="center" vertical="center" wrapText="1"/>
    </xf>
    <xf numFmtId="3" fontId="3" fillId="0" borderId="13" xfId="3" applyNumberFormat="1" applyFont="1" applyBorder="1" applyAlignment="1">
      <alignment horizontal="center" vertical="center"/>
    </xf>
    <xf numFmtId="3" fontId="3" fillId="0" borderId="17" xfId="3" applyNumberFormat="1" applyFont="1" applyBorder="1" applyAlignment="1">
      <alignment horizontal="center" vertical="center"/>
    </xf>
    <xf numFmtId="0" fontId="3" fillId="0" borderId="0" xfId="3" applyFont="1" applyBorder="1" applyAlignment="1">
      <alignment horizontal="center" vertical="center" wrapText="1"/>
    </xf>
    <xf numFmtId="3" fontId="3" fillId="0" borderId="14" xfId="3" applyNumberFormat="1" applyFont="1" applyFill="1" applyBorder="1" applyAlignment="1">
      <alignment horizontal="center" vertical="center"/>
    </xf>
    <xf numFmtId="0" fontId="3" fillId="0" borderId="13" xfId="3" applyFont="1" applyFill="1" applyBorder="1" applyAlignment="1">
      <alignment horizontal="center" vertical="center"/>
    </xf>
    <xf numFmtId="0" fontId="3" fillId="0" borderId="15" xfId="3" applyFont="1" applyFill="1" applyBorder="1" applyAlignment="1">
      <alignment horizontal="center" vertical="center" wrapText="1"/>
    </xf>
    <xf numFmtId="0" fontId="3" fillId="0" borderId="0" xfId="3" applyFont="1" applyFill="1" applyAlignment="1">
      <alignment horizontal="center" vertical="center" wrapText="1"/>
    </xf>
    <xf numFmtId="0" fontId="3" fillId="0" borderId="17" xfId="3" applyFont="1" applyFill="1" applyBorder="1" applyAlignment="1">
      <alignment horizontal="center" vertical="center"/>
    </xf>
    <xf numFmtId="0" fontId="3" fillId="0" borderId="3" xfId="3" applyFont="1" applyFill="1" applyBorder="1" applyAlignment="1">
      <alignment horizontal="center" vertical="center" wrapText="1"/>
    </xf>
    <xf numFmtId="3" fontId="3" fillId="0" borderId="13" xfId="3" applyNumberFormat="1" applyFont="1" applyFill="1" applyBorder="1" applyAlignment="1">
      <alignment horizontal="center" vertical="center"/>
    </xf>
    <xf numFmtId="3" fontId="3" fillId="0" borderId="17" xfId="3" applyNumberFormat="1" applyFont="1" applyFill="1" applyBorder="1" applyAlignment="1">
      <alignment horizontal="center" vertical="center"/>
    </xf>
    <xf numFmtId="3" fontId="3" fillId="0" borderId="14" xfId="3" applyNumberFormat="1" applyFont="1" applyBorder="1" applyAlignment="1">
      <alignment horizontal="center" vertical="center" wrapText="1"/>
    </xf>
    <xf numFmtId="0" fontId="3" fillId="0" borderId="13" xfId="3" applyFont="1" applyBorder="1" applyAlignment="1">
      <alignment horizontal="center" vertical="center" wrapText="1"/>
    </xf>
    <xf numFmtId="0" fontId="3" fillId="0" borderId="14" xfId="3" applyFont="1" applyBorder="1" applyAlignment="1">
      <alignment horizontal="center" vertical="center" wrapText="1"/>
    </xf>
    <xf numFmtId="0" fontId="3" fillId="0" borderId="17" xfId="3" applyFont="1" applyBorder="1" applyAlignment="1">
      <alignment horizontal="center" vertical="center" wrapText="1"/>
    </xf>
    <xf numFmtId="0" fontId="11" fillId="0" borderId="23" xfId="0" applyFont="1" applyBorder="1" applyAlignment="1" applyProtection="1">
      <alignment horizontal="center" vertical="center" wrapText="1"/>
    </xf>
    <xf numFmtId="0" fontId="11" fillId="0" borderId="25" xfId="0" applyFont="1" applyBorder="1" applyAlignment="1" applyProtection="1">
      <alignment horizontal="center" vertical="center" wrapText="1"/>
    </xf>
    <xf numFmtId="0" fontId="11" fillId="0" borderId="27" xfId="0" applyFont="1" applyBorder="1" applyAlignment="1" applyProtection="1">
      <alignment horizontal="center" vertical="center" wrapText="1"/>
    </xf>
    <xf numFmtId="0" fontId="16" fillId="0" borderId="0" xfId="0" applyFont="1" applyAlignment="1" applyProtection="1">
      <alignment horizontal="left"/>
    </xf>
  </cellXfs>
  <cellStyles count="7">
    <cellStyle name="Hiperlink" xfId="6" builtinId="8"/>
    <cellStyle name="Moeda 2" xfId="5"/>
    <cellStyle name="Normal" xfId="0" builtinId="0"/>
    <cellStyle name="Normal_Composições" xfId="3"/>
    <cellStyle name="Porcentagem" xfId="2" builtinId="5"/>
    <cellStyle name="Separador de milhares_MODELO CÂMARA" xfId="4"/>
    <cellStyle name="Vírgula" xfId="1" builtinId="3"/>
  </cellStyles>
  <dxfs count="177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000FF"/>
      </font>
    </dxf>
    <dxf>
      <fill>
        <patternFill>
          <bgColor rgb="FFFF0000"/>
        </patternFill>
      </fill>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ont>
        <color rgb="FF0000FF"/>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0</xdr:row>
      <xdr:rowOff>76200</xdr:rowOff>
    </xdr:from>
    <xdr:to>
      <xdr:col>11</xdr:col>
      <xdr:colOff>194983</xdr:colOff>
      <xdr:row>4</xdr:row>
      <xdr:rowOff>265019</xdr:rowOff>
    </xdr:to>
    <xdr:sp macro="" textlink="">
      <xdr:nvSpPr>
        <xdr:cNvPr id="4124" name="CommandButton1" hidden="1">
          <a:extLst>
            <a:ext uri="{63B3BB69-23CF-44E3-9099-C40C66FF867C}">
              <a14:compatExt xmlns:a14="http://schemas.microsoft.com/office/drawing/2010/main" spid="_x0000_s4124"/>
            </a:ext>
            <a:ext uri="{FF2B5EF4-FFF2-40B4-BE49-F238E27FC236}">
              <a16:creationId xmlns:mc="http://schemas.openxmlformats.org/markup-compatibility/2006" xmlns:a14="http://schemas.microsoft.com/office/drawing/2010/main" xmlns="" xmlns:a16="http://schemas.microsoft.com/office/drawing/2014/main" id="{AB4325E4-263B-4A6E-BB84-9450B2F7E73C}"/>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266700</xdr:colOff>
      <xdr:row>0</xdr:row>
      <xdr:rowOff>47625</xdr:rowOff>
    </xdr:from>
    <xdr:to>
      <xdr:col>11</xdr:col>
      <xdr:colOff>490258</xdr:colOff>
      <xdr:row>1</xdr:row>
      <xdr:rowOff>276225</xdr:rowOff>
    </xdr:to>
    <xdr:sp macro="" textlink="">
      <xdr:nvSpPr>
        <xdr:cNvPr id="4126" name="CommandButton2" hidden="1">
          <a:extLst>
            <a:ext uri="{63B3BB69-23CF-44E3-9099-C40C66FF867C}">
              <a14:compatExt xmlns:a14="http://schemas.microsoft.com/office/drawing/2010/main" spid="_x0000_s4126"/>
            </a:ext>
            <a:ext uri="{FF2B5EF4-FFF2-40B4-BE49-F238E27FC236}">
              <a16:creationId xmlns:mc="http://schemas.openxmlformats.org/markup-compatibility/2006" xmlns:a14="http://schemas.microsoft.com/office/drawing/2010/main" xmlns="" xmlns:a16="http://schemas.microsoft.com/office/drawing/2014/main" id="{88E27A7A-2301-4D25-A570-C6ED4980A2E4}"/>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266700</xdr:colOff>
      <xdr:row>2</xdr:row>
      <xdr:rowOff>66675</xdr:rowOff>
    </xdr:from>
    <xdr:to>
      <xdr:col>11</xdr:col>
      <xdr:colOff>490258</xdr:colOff>
      <xdr:row>4</xdr:row>
      <xdr:rowOff>141194</xdr:rowOff>
    </xdr:to>
    <xdr:sp macro="" textlink="">
      <xdr:nvSpPr>
        <xdr:cNvPr id="4127" name="CommandButton3" hidden="1">
          <a:extLst>
            <a:ext uri="{63B3BB69-23CF-44E3-9099-C40C66FF867C}">
              <a14:compatExt xmlns:a14="http://schemas.microsoft.com/office/drawing/2010/main" spid="_x0000_s4127"/>
            </a:ext>
            <a:ext uri="{FF2B5EF4-FFF2-40B4-BE49-F238E27FC236}">
              <a16:creationId xmlns:mc="http://schemas.openxmlformats.org/markup-compatibility/2006" xmlns:a14="http://schemas.microsoft.com/office/drawing/2010/main" xmlns="" xmlns:a16="http://schemas.microsoft.com/office/drawing/2014/main" id="{F09C3939-A3F5-4FDB-AAE7-4576911F7713}"/>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0</xdr:row>
      <xdr:rowOff>57150</xdr:rowOff>
    </xdr:from>
    <xdr:to>
      <xdr:col>10</xdr:col>
      <xdr:colOff>219075</xdr:colOff>
      <xdr:row>1</xdr:row>
      <xdr:rowOff>285750</xdr:rowOff>
    </xdr:to>
    <xdr:sp macro="" textlink="">
      <xdr:nvSpPr>
        <xdr:cNvPr id="5148" name="CommandButton1" hidden="1">
          <a:extLst>
            <a:ext uri="{63B3BB69-23CF-44E3-9099-C40C66FF867C}">
              <a14:compatExt xmlns:a14="http://schemas.microsoft.com/office/drawing/2010/main" spid="_x0000_s5148"/>
            </a:ext>
            <a:ext uri="{FF2B5EF4-FFF2-40B4-BE49-F238E27FC236}">
              <a16:creationId xmlns:mc="http://schemas.openxmlformats.org/markup-compatibility/2006" xmlns:a14="http://schemas.microsoft.com/office/drawing/2010/main" xmlns="" xmlns:a16="http://schemas.microsoft.com/office/drawing/2014/main" id="{872414FF-4BDB-4464-9C9F-C29C5EF0D151}"/>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2</xdr:row>
      <xdr:rowOff>38100</xdr:rowOff>
    </xdr:from>
    <xdr:to>
      <xdr:col>10</xdr:col>
      <xdr:colOff>219075</xdr:colOff>
      <xdr:row>4</xdr:row>
      <xdr:rowOff>169068</xdr:rowOff>
    </xdr:to>
    <xdr:sp macro="" textlink="">
      <xdr:nvSpPr>
        <xdr:cNvPr id="5149" name="CommandButton2" hidden="1">
          <a:extLst>
            <a:ext uri="{63B3BB69-23CF-44E3-9099-C40C66FF867C}">
              <a14:compatExt xmlns:a14="http://schemas.microsoft.com/office/drawing/2010/main" spid="_x0000_s5149"/>
            </a:ext>
            <a:ext uri="{FF2B5EF4-FFF2-40B4-BE49-F238E27FC236}">
              <a16:creationId xmlns:mc="http://schemas.openxmlformats.org/markup-compatibility/2006" xmlns:a14="http://schemas.microsoft.com/office/drawing/2010/main" xmlns="" xmlns:a16="http://schemas.microsoft.com/office/drawing/2014/main" id="{16360958-FAF6-441B-B969-3858981F094C}"/>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0</xdr:row>
      <xdr:rowOff>57150</xdr:rowOff>
    </xdr:from>
    <xdr:to>
      <xdr:col>10</xdr:col>
      <xdr:colOff>228600</xdr:colOff>
      <xdr:row>1</xdr:row>
      <xdr:rowOff>285750</xdr:rowOff>
    </xdr:to>
    <xdr:sp macro="" textlink="">
      <xdr:nvSpPr>
        <xdr:cNvPr id="6154" name="CommandButton1" hidden="1">
          <a:extLst>
            <a:ext uri="{63B3BB69-23CF-44E3-9099-C40C66FF867C}">
              <a14:compatExt xmlns:a14="http://schemas.microsoft.com/office/drawing/2010/main" spid="_x0000_s6154"/>
            </a:ext>
            <a:ext uri="{FF2B5EF4-FFF2-40B4-BE49-F238E27FC236}">
              <a16:creationId xmlns:mc="http://schemas.openxmlformats.org/markup-compatibility/2006" xmlns:a14="http://schemas.microsoft.com/office/drawing/2010/main" xmlns="" xmlns:a16="http://schemas.microsoft.com/office/drawing/2014/main" id="{72E545A2-22EB-468B-BF42-70C4D731381E}"/>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2</xdr:row>
      <xdr:rowOff>66675</xdr:rowOff>
    </xdr:from>
    <xdr:to>
      <xdr:col>10</xdr:col>
      <xdr:colOff>228600</xdr:colOff>
      <xdr:row>4</xdr:row>
      <xdr:rowOff>92868</xdr:rowOff>
    </xdr:to>
    <xdr:sp macro="" textlink="">
      <xdr:nvSpPr>
        <xdr:cNvPr id="6155" name="CommandButton2" hidden="1">
          <a:extLst>
            <a:ext uri="{63B3BB69-23CF-44E3-9099-C40C66FF867C}">
              <a14:compatExt xmlns:a14="http://schemas.microsoft.com/office/drawing/2010/main" spid="_x0000_s6155"/>
            </a:ext>
            <a:ext uri="{FF2B5EF4-FFF2-40B4-BE49-F238E27FC236}">
              <a16:creationId xmlns:mc="http://schemas.openxmlformats.org/markup-compatibility/2006" xmlns:a14="http://schemas.microsoft.com/office/drawing/2010/main" xmlns="" xmlns:a16="http://schemas.microsoft.com/office/drawing/2014/main" id="{2C0BAA92-CC07-4C00-800B-121223C9431E}"/>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0</xdr:row>
      <xdr:rowOff>19050</xdr:rowOff>
    </xdr:from>
    <xdr:to>
      <xdr:col>10</xdr:col>
      <xdr:colOff>588169</xdr:colOff>
      <xdr:row>1</xdr:row>
      <xdr:rowOff>76200</xdr:rowOff>
    </xdr:to>
    <xdr:sp macro="" textlink="">
      <xdr:nvSpPr>
        <xdr:cNvPr id="11266" name="CommandButton1" hidden="1">
          <a:extLst>
            <a:ext uri="{63B3BB69-23CF-44E3-9099-C40C66FF867C}">
              <a14:compatExt xmlns:a14="http://schemas.microsoft.com/office/drawing/2010/main" spid="_x0000_s11266"/>
            </a:ext>
            <a:ext uri="{FF2B5EF4-FFF2-40B4-BE49-F238E27FC236}">
              <a16:creationId xmlns:mc="http://schemas.openxmlformats.org/markup-compatibility/2006" xmlns:a14="http://schemas.microsoft.com/office/drawing/2010/main" xmlns="" xmlns:a16="http://schemas.microsoft.com/office/drawing/2014/main" id="{69B3AF1F-C095-4A14-B4FF-2E7D9086F075}"/>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0</xdr:colOff>
      <xdr:row>1</xdr:row>
      <xdr:rowOff>95250</xdr:rowOff>
    </xdr:from>
    <xdr:to>
      <xdr:col>10</xdr:col>
      <xdr:colOff>597694</xdr:colOff>
      <xdr:row>3</xdr:row>
      <xdr:rowOff>190500</xdr:rowOff>
    </xdr:to>
    <xdr:sp macro="" textlink="">
      <xdr:nvSpPr>
        <xdr:cNvPr id="11267" name="CommandButton2" hidden="1">
          <a:extLst>
            <a:ext uri="{63B3BB69-23CF-44E3-9099-C40C66FF867C}">
              <a14:compatExt xmlns:a14="http://schemas.microsoft.com/office/drawing/2010/main" spid="_x0000_s11267"/>
            </a:ext>
            <a:ext uri="{FF2B5EF4-FFF2-40B4-BE49-F238E27FC236}">
              <a16:creationId xmlns:mc="http://schemas.openxmlformats.org/markup-compatibility/2006" xmlns:a14="http://schemas.microsoft.com/office/drawing/2010/main" xmlns="" xmlns:a16="http://schemas.microsoft.com/office/drawing/2014/main" id="{447176A3-217E-484D-A638-F6CFD4D0A4F1}"/>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30082</xdr:colOff>
      <xdr:row>18</xdr:row>
      <xdr:rowOff>120066</xdr:rowOff>
    </xdr:from>
    <xdr:to>
      <xdr:col>4</xdr:col>
      <xdr:colOff>486452</xdr:colOff>
      <xdr:row>36</xdr:row>
      <xdr:rowOff>26769</xdr:rowOff>
    </xdr:to>
    <xdr:pic>
      <xdr:nvPicPr>
        <xdr:cNvPr id="2" name="Imagem 1">
          <a:extLst>
            <a:ext uri="{FF2B5EF4-FFF2-40B4-BE49-F238E27FC236}">
              <a16:creationId xmlns="" xmlns:a16="http://schemas.microsoft.com/office/drawing/2014/main" id="{656868C2-726C-4F85-8760-4FE08709ADA2}"/>
            </a:ext>
          </a:extLst>
        </xdr:cNvPr>
        <xdr:cNvPicPr>
          <a:picLocks noChangeAspect="1"/>
        </xdr:cNvPicPr>
      </xdr:nvPicPr>
      <xdr:blipFill>
        <a:blip xmlns:r="http://schemas.openxmlformats.org/officeDocument/2006/relationships" r:embed="rId1"/>
        <a:stretch>
          <a:fillRect/>
        </a:stretch>
      </xdr:blipFill>
      <xdr:spPr>
        <a:xfrm>
          <a:off x="30082" y="7073316"/>
          <a:ext cx="6635714" cy="333570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enverimper.com.br/files/produtos/0000001-0000500/122/e5fe48d2b8810574e94921c5fb6cea0c.pdf" TargetMode="External"/><Relationship Id="rId3" Type="http://schemas.openxmlformats.org/officeDocument/2006/relationships/hyperlink" Target="https://www.sherwin-williams.com.br/produto-detalhe/metalatex-eco-complementos" TargetMode="External"/><Relationship Id="rId7" Type="http://schemas.openxmlformats.org/officeDocument/2006/relationships/hyperlink" Target="http://www.denverimper.com.br/files/produtos/0000001-0000500/122/e5fe48d2b8810574e94921c5fb6cea0c.pdf" TargetMode="External"/><Relationship Id="rId2" Type="http://schemas.openxmlformats.org/officeDocument/2006/relationships/hyperlink" Target="https://www.suvinil.com.br/upload/78d22676-91b1-4086-99ad-4258fadd7b08-suvinil-fundo-seca-rapidomaio2018.pdf" TargetMode="External"/><Relationship Id="rId1" Type="http://schemas.openxmlformats.org/officeDocument/2006/relationships/hyperlink" Target="https://s3.amazonaws.com/mapa-da-obra-producao/wp-content/uploads/2015/12/2101-matrix-revestimento-interno.pdf" TargetMode="External"/><Relationship Id="rId6" Type="http://schemas.openxmlformats.org/officeDocument/2006/relationships/hyperlink" Target="http://vedacit.com.br/produtos/primer-eco-vedacit" TargetMode="External"/><Relationship Id="rId11" Type="http://schemas.openxmlformats.org/officeDocument/2006/relationships/vmlDrawing" Target="../drawings/vmlDrawing1.vml"/><Relationship Id="rId5" Type="http://schemas.openxmlformats.org/officeDocument/2006/relationships/hyperlink" Target="http://www.bautechbrasil.com.br/produtos/pinturas-especiais-e-complementos/bautech-resina-acr%C3%ADlica-multiuso" TargetMode="External"/><Relationship Id="rId10" Type="http://schemas.openxmlformats.org/officeDocument/2006/relationships/drawing" Target="../drawings/drawing1.xml"/><Relationship Id="rId4" Type="http://schemas.openxmlformats.org/officeDocument/2006/relationships/hyperlink" Target="http://www.bautechbrasil.com.br/produtos/selantes-especiais/bautech-selante-acr%C3%ADlico"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 filterMode="1">
    <pageSetUpPr fitToPage="1"/>
  </sheetPr>
  <dimension ref="A1:J5161"/>
  <sheetViews>
    <sheetView zoomScale="80" zoomScaleNormal="80" workbookViewId="0">
      <pane ySplit="5" topLeftCell="A6" activePane="bottomLeft" state="frozen"/>
      <selection pane="bottomLeft" activeCell="G4" sqref="G4"/>
    </sheetView>
  </sheetViews>
  <sheetFormatPr defaultRowHeight="15" x14ac:dyDescent="0.25"/>
  <cols>
    <col min="1" max="1" width="14.7109375" customWidth="1"/>
    <col min="2" max="2" width="50.7109375" customWidth="1"/>
    <col min="3" max="3" width="65.7109375" style="5" customWidth="1"/>
    <col min="4" max="4" width="15.7109375" customWidth="1"/>
    <col min="5" max="5" width="20.7109375" customWidth="1"/>
    <col min="6" max="6" width="15.7109375" customWidth="1"/>
    <col min="7" max="8" width="17.7109375" customWidth="1"/>
    <col min="9" max="9" width="5.7109375" customWidth="1"/>
    <col min="10" max="10" width="14.42578125" customWidth="1"/>
  </cols>
  <sheetData>
    <row r="1" spans="1:10" ht="24.95" customHeight="1" x14ac:dyDescent="0.25">
      <c r="A1" s="6" t="str">
        <f>Orçamentária!A1</f>
        <v>Interligação da Central de Água Gelada (CAG) da Área Técnica 40 (AT40) com o Bloco 17 (BL17 – SAFIN/Serviço Médico)</v>
      </c>
      <c r="B1" s="6"/>
      <c r="C1" s="6"/>
      <c r="D1" s="6"/>
      <c r="E1" s="7"/>
      <c r="F1" s="6"/>
      <c r="G1" s="6"/>
      <c r="H1" s="6"/>
      <c r="I1" s="8"/>
      <c r="J1" s="9"/>
    </row>
    <row r="2" spans="1:10" ht="24.95" customHeight="1" x14ac:dyDescent="0.25">
      <c r="A2" s="10" t="s">
        <v>0</v>
      </c>
      <c r="B2" s="11"/>
      <c r="C2" s="132"/>
      <c r="D2" s="11"/>
      <c r="E2" s="12"/>
      <c r="F2" s="11"/>
      <c r="G2" s="11"/>
      <c r="H2" s="11"/>
      <c r="I2" s="13"/>
      <c r="J2" s="9"/>
    </row>
    <row r="3" spans="1:10" ht="20.100000000000001" customHeight="1" x14ac:dyDescent="0.25">
      <c r="A3" s="14" t="str">
        <f>Orçamentária!A3</f>
        <v>Data: Maio de 2021</v>
      </c>
      <c r="B3" s="14"/>
      <c r="C3" s="133"/>
      <c r="D3" s="14"/>
      <c r="E3" s="15"/>
      <c r="F3" s="14"/>
      <c r="G3" s="14"/>
      <c r="H3" s="14"/>
      <c r="J3" s="9"/>
    </row>
    <row r="4" spans="1:10" ht="15.75" thickBot="1" x14ac:dyDescent="0.3">
      <c r="A4" s="16"/>
      <c r="B4" s="16"/>
      <c r="C4" s="16"/>
      <c r="D4" s="16"/>
      <c r="E4" s="17"/>
      <c r="F4" s="16"/>
      <c r="G4" s="18"/>
      <c r="H4" s="16"/>
      <c r="I4" s="16"/>
      <c r="J4" s="19"/>
    </row>
    <row r="5" spans="1:10" ht="30.75" thickBot="1" x14ac:dyDescent="0.3">
      <c r="A5" s="20" t="s">
        <v>1</v>
      </c>
      <c r="B5" s="21" t="s">
        <v>2</v>
      </c>
      <c r="C5" s="21" t="s">
        <v>3</v>
      </c>
      <c r="D5" s="21" t="s">
        <v>4</v>
      </c>
      <c r="E5" s="22" t="s">
        <v>5</v>
      </c>
      <c r="F5" s="21" t="s">
        <v>6</v>
      </c>
      <c r="G5" s="21" t="s">
        <v>7</v>
      </c>
      <c r="H5" s="23" t="s">
        <v>8</v>
      </c>
      <c r="I5" s="24"/>
      <c r="J5" s="25" t="s">
        <v>9</v>
      </c>
    </row>
    <row r="6" spans="1:10" ht="15.75" hidden="1" thickBot="1" x14ac:dyDescent="0.3">
      <c r="A6" s="221" t="s">
        <v>10</v>
      </c>
      <c r="B6" s="224" t="str">
        <f>INDEX(Orçamentária!A:B,MATCH(Composições!A6,Orçamentária!A:A,0),2)</f>
        <v>Engenheiro(a) /Arquiteto(a) júnior</v>
      </c>
      <c r="C6" s="41"/>
      <c r="D6" s="26" t="str">
        <f>TRIM(INDEX(Orçamentária!C:C,MATCH(Composições!A6,Orçamentária!A:A,0),1))</f>
        <v>hh</v>
      </c>
      <c r="E6" s="27"/>
      <c r="F6" s="28" t="s">
        <v>572</v>
      </c>
      <c r="G6" s="28" t="str">
        <f t="shared" ref="G6:G69" si="0">IF(ISNUMBER(F6),E6*F6,"")</f>
        <v/>
      </c>
      <c r="H6" s="29"/>
      <c r="I6" s="30"/>
      <c r="J6" s="156">
        <v>0</v>
      </c>
    </row>
    <row r="7" spans="1:10" ht="15.75" hidden="1" thickBot="1" x14ac:dyDescent="0.3">
      <c r="A7" s="222"/>
      <c r="B7" s="225"/>
      <c r="C7" s="32"/>
      <c r="D7" s="32"/>
      <c r="E7" s="33"/>
      <c r="F7" s="31" t="s">
        <v>572</v>
      </c>
      <c r="G7" s="34" t="str">
        <f t="shared" si="0"/>
        <v/>
      </c>
      <c r="H7" s="35"/>
      <c r="I7" s="31"/>
      <c r="J7" s="156">
        <v>0</v>
      </c>
    </row>
    <row r="8" spans="1:10" ht="15.75" hidden="1" thickBot="1" x14ac:dyDescent="0.3">
      <c r="A8" s="222"/>
      <c r="B8" s="225"/>
      <c r="C8" s="36" t="s">
        <v>11</v>
      </c>
      <c r="D8" s="36" t="s">
        <v>12</v>
      </c>
      <c r="E8" s="37">
        <v>1</v>
      </c>
      <c r="F8" s="31">
        <v>88.283500000000004</v>
      </c>
      <c r="G8" s="34">
        <f t="shared" si="0"/>
        <v>88.283500000000004</v>
      </c>
      <c r="H8" s="39">
        <f>SUM(G8:G8)</f>
        <v>88.283500000000004</v>
      </c>
      <c r="I8" s="40"/>
      <c r="J8" s="156">
        <v>0</v>
      </c>
    </row>
    <row r="9" spans="1:10" ht="15.75" hidden="1" thickBot="1" x14ac:dyDescent="0.3">
      <c r="A9" s="223"/>
      <c r="B9" s="226"/>
      <c r="C9" s="36"/>
      <c r="D9" s="36"/>
      <c r="E9" s="37"/>
      <c r="F9" s="31" t="s">
        <v>572</v>
      </c>
      <c r="G9" s="34" t="str">
        <f t="shared" si="0"/>
        <v/>
      </c>
      <c r="H9" s="35"/>
      <c r="I9" s="31"/>
      <c r="J9" s="156">
        <v>0</v>
      </c>
    </row>
    <row r="10" spans="1:10" ht="15.75" hidden="1" thickBot="1" x14ac:dyDescent="0.3">
      <c r="A10" s="238" t="s">
        <v>13</v>
      </c>
      <c r="B10" s="224" t="str">
        <f>INDEX(Orçamentária!A:B,MATCH(Composições!A10,Orçamentária!A:A,0),2)</f>
        <v>Mestre de obras</v>
      </c>
      <c r="C10" s="41"/>
      <c r="D10" s="26" t="str">
        <f>TRIM(INDEX(Orçamentária!C:C,MATCH(Composições!A10,Orçamentária!A:A,0),1))</f>
        <v>hh</v>
      </c>
      <c r="E10" s="27"/>
      <c r="F10" s="42" t="s">
        <v>572</v>
      </c>
      <c r="G10" s="28" t="str">
        <f t="shared" si="0"/>
        <v/>
      </c>
      <c r="H10" s="29"/>
      <c r="I10" s="30"/>
      <c r="J10" s="156">
        <v>0</v>
      </c>
    </row>
    <row r="11" spans="1:10" ht="15.75" hidden="1" thickBot="1" x14ac:dyDescent="0.3">
      <c r="A11" s="239"/>
      <c r="B11" s="225"/>
      <c r="C11" s="32"/>
      <c r="D11" s="32"/>
      <c r="E11" s="33"/>
      <c r="F11" s="43" t="s">
        <v>572</v>
      </c>
      <c r="G11" s="31" t="str">
        <f t="shared" si="0"/>
        <v/>
      </c>
      <c r="H11" s="35"/>
      <c r="I11" s="31"/>
      <c r="J11" s="156">
        <v>0</v>
      </c>
    </row>
    <row r="12" spans="1:10" ht="15.75" hidden="1" thickBot="1" x14ac:dyDescent="0.3">
      <c r="A12" s="239"/>
      <c r="B12" s="225"/>
      <c r="C12" s="36" t="s">
        <v>14</v>
      </c>
      <c r="D12" s="36" t="s">
        <v>12</v>
      </c>
      <c r="E12" s="37">
        <v>1</v>
      </c>
      <c r="F12" s="31">
        <v>26.248499999999996</v>
      </c>
      <c r="G12" s="34">
        <f t="shared" si="0"/>
        <v>26.248499999999996</v>
      </c>
      <c r="H12" s="39">
        <f>SUM(G12:G12)</f>
        <v>26.248499999999996</v>
      </c>
      <c r="I12" s="40"/>
      <c r="J12" s="156">
        <v>0</v>
      </c>
    </row>
    <row r="13" spans="1:10" ht="15.75" hidden="1" thickBot="1" x14ac:dyDescent="0.3">
      <c r="A13" s="239"/>
      <c r="B13" s="225"/>
      <c r="C13" s="36"/>
      <c r="D13" s="36"/>
      <c r="E13" s="37"/>
      <c r="F13" s="31" t="s">
        <v>572</v>
      </c>
      <c r="G13" s="31" t="str">
        <f t="shared" si="0"/>
        <v/>
      </c>
      <c r="H13" s="35"/>
      <c r="I13" s="31"/>
      <c r="J13" s="156">
        <v>0</v>
      </c>
    </row>
    <row r="14" spans="1:10" ht="15.75" hidden="1" thickBot="1" x14ac:dyDescent="0.3">
      <c r="A14" s="221" t="s">
        <v>15</v>
      </c>
      <c r="B14" s="224" t="str">
        <f>INDEX(Orçamentária!A:B,MATCH(Composições!A14,Orçamentária!A:A,0),2)</f>
        <v>Planejamento físico-financeiro</v>
      </c>
      <c r="C14" s="41"/>
      <c r="D14" s="26" t="str">
        <f>TRIM(INDEX(Orçamentária!C:C,MATCH(Composições!A14,Orçamentária!A:A,0),1))</f>
        <v>un</v>
      </c>
      <c r="E14" s="27"/>
      <c r="F14" s="42" t="s">
        <v>572</v>
      </c>
      <c r="G14" s="28" t="str">
        <f t="shared" si="0"/>
        <v/>
      </c>
      <c r="H14" s="29"/>
      <c r="I14" s="30"/>
      <c r="J14" s="156">
        <v>0</v>
      </c>
    </row>
    <row r="15" spans="1:10" ht="15.75" hidden="1" thickBot="1" x14ac:dyDescent="0.3">
      <c r="A15" s="222"/>
      <c r="B15" s="225"/>
      <c r="C15" s="32"/>
      <c r="D15" s="32"/>
      <c r="E15" s="33"/>
      <c r="F15" s="43" t="s">
        <v>572</v>
      </c>
      <c r="G15" s="31" t="str">
        <f t="shared" si="0"/>
        <v/>
      </c>
      <c r="H15" s="35"/>
      <c r="I15" s="31"/>
      <c r="J15" s="156">
        <v>0</v>
      </c>
    </row>
    <row r="16" spans="1:10" ht="15.75" hidden="1" thickBot="1" x14ac:dyDescent="0.3">
      <c r="A16" s="222"/>
      <c r="B16" s="225"/>
      <c r="C16" s="36" t="s">
        <v>16</v>
      </c>
      <c r="D16" s="36" t="s">
        <v>12</v>
      </c>
      <c r="E16" s="37">
        <v>16</v>
      </c>
      <c r="F16" s="31">
        <v>100.3295</v>
      </c>
      <c r="G16" s="31">
        <f t="shared" si="0"/>
        <v>1605.2719999999999</v>
      </c>
      <c r="H16" s="39">
        <f>SUM(G16:G16)</f>
        <v>1605.2719999999999</v>
      </c>
      <c r="I16" s="40"/>
      <c r="J16" s="156">
        <v>0</v>
      </c>
    </row>
    <row r="17" spans="1:10" ht="15.75" hidden="1" thickBot="1" x14ac:dyDescent="0.3">
      <c r="A17" s="223"/>
      <c r="B17" s="226"/>
      <c r="C17" s="36"/>
      <c r="D17" s="36"/>
      <c r="E17" s="37"/>
      <c r="F17" s="31" t="s">
        <v>572</v>
      </c>
      <c r="G17" s="31" t="str">
        <f t="shared" si="0"/>
        <v/>
      </c>
      <c r="H17" s="35"/>
      <c r="I17" s="31"/>
      <c r="J17" s="156">
        <v>0</v>
      </c>
    </row>
    <row r="18" spans="1:10" ht="15.75" hidden="1" thickBot="1" x14ac:dyDescent="0.3">
      <c r="A18" s="221" t="s">
        <v>17</v>
      </c>
      <c r="B18" s="224" t="str">
        <f>INDEX(Orçamentária!A:B,MATCH(Composições!A18,Orçamentária!A:A,0),2)</f>
        <v>Projetos de segurança do trabalho</v>
      </c>
      <c r="C18" s="41"/>
      <c r="D18" s="26" t="str">
        <f>TRIM(INDEX(Orçamentária!C:C,MATCH(Composições!A18,Orçamentária!A:A,0),1))</f>
        <v>un</v>
      </c>
      <c r="E18" s="27"/>
      <c r="F18" s="42" t="s">
        <v>572</v>
      </c>
      <c r="G18" s="28" t="str">
        <f t="shared" si="0"/>
        <v/>
      </c>
      <c r="H18" s="29"/>
      <c r="I18" s="30"/>
      <c r="J18" s="156">
        <v>0</v>
      </c>
    </row>
    <row r="19" spans="1:10" ht="15.75" hidden="1" thickBot="1" x14ac:dyDescent="0.3">
      <c r="A19" s="222"/>
      <c r="B19" s="225"/>
      <c r="C19" s="32"/>
      <c r="D19" s="32"/>
      <c r="E19" s="33"/>
      <c r="F19" s="43" t="s">
        <v>572</v>
      </c>
      <c r="G19" s="31" t="str">
        <f t="shared" si="0"/>
        <v/>
      </c>
      <c r="H19" s="35"/>
      <c r="I19" s="31"/>
      <c r="J19" s="156">
        <v>0</v>
      </c>
    </row>
    <row r="20" spans="1:10" ht="15.75" hidden="1" thickBot="1" x14ac:dyDescent="0.3">
      <c r="A20" s="222"/>
      <c r="B20" s="225"/>
      <c r="C20" s="36" t="s">
        <v>18</v>
      </c>
      <c r="D20" s="36" t="s">
        <v>12</v>
      </c>
      <c r="E20" s="37">
        <v>20</v>
      </c>
      <c r="F20" s="31">
        <v>100.6525</v>
      </c>
      <c r="G20" s="31">
        <f t="shared" si="0"/>
        <v>2013.0500000000002</v>
      </c>
      <c r="H20" s="39">
        <f>SUM(G20:G21)</f>
        <v>2013.0500000000002</v>
      </c>
      <c r="I20" s="40"/>
      <c r="J20" s="156">
        <v>0</v>
      </c>
    </row>
    <row r="21" spans="1:10" ht="15.75" hidden="1" thickBot="1" x14ac:dyDescent="0.3">
      <c r="A21" s="222"/>
      <c r="B21" s="225"/>
      <c r="C21" s="36" t="s">
        <v>19</v>
      </c>
      <c r="D21" s="36" t="s">
        <v>20</v>
      </c>
      <c r="E21" s="37">
        <v>1</v>
      </c>
      <c r="F21" s="34" t="s">
        <v>572</v>
      </c>
      <c r="G21" s="31" t="str">
        <f t="shared" si="0"/>
        <v/>
      </c>
      <c r="H21" s="35"/>
      <c r="I21" s="31"/>
      <c r="J21" s="156">
        <v>0</v>
      </c>
    </row>
    <row r="22" spans="1:10" ht="15.75" hidden="1" thickBot="1" x14ac:dyDescent="0.3">
      <c r="A22" s="223"/>
      <c r="B22" s="226"/>
      <c r="C22" s="36"/>
      <c r="D22" s="36"/>
      <c r="E22" s="37"/>
      <c r="F22" s="31" t="s">
        <v>572</v>
      </c>
      <c r="G22" s="31" t="str">
        <f t="shared" si="0"/>
        <v/>
      </c>
      <c r="H22" s="35"/>
      <c r="I22" s="31"/>
      <c r="J22" s="156">
        <v>0</v>
      </c>
    </row>
    <row r="23" spans="1:10" ht="15.75" thickBot="1" x14ac:dyDescent="0.3">
      <c r="A23" s="221" t="s">
        <v>21</v>
      </c>
      <c r="B23" s="224" t="str">
        <f>INDEX(Orçamentária!A:B,MATCH(Composições!A23,Orçamentária!A:A,0),2)</f>
        <v>Demolição de alvenarias</v>
      </c>
      <c r="C23" s="41"/>
      <c r="D23" s="26" t="str">
        <f>TRIM(INDEX(Orçamentária!C:C,MATCH(Composições!A23,Orçamentária!A:A,0),1))</f>
        <v>m3</v>
      </c>
      <c r="E23" s="27"/>
      <c r="F23" s="42" t="s">
        <v>572</v>
      </c>
      <c r="G23" s="28" t="str">
        <f t="shared" si="0"/>
        <v/>
      </c>
      <c r="H23" s="29"/>
      <c r="I23" s="30"/>
      <c r="J23" s="156">
        <v>2.0000000000000004E-2</v>
      </c>
    </row>
    <row r="24" spans="1:10" x14ac:dyDescent="0.25">
      <c r="A24" s="222"/>
      <c r="B24" s="225"/>
      <c r="C24" s="32"/>
      <c r="D24" s="32"/>
      <c r="E24" s="33"/>
      <c r="F24" s="43" t="s">
        <v>572</v>
      </c>
      <c r="G24" s="31" t="str">
        <f t="shared" si="0"/>
        <v/>
      </c>
      <c r="H24" s="35"/>
      <c r="I24" s="31"/>
      <c r="J24" s="156">
        <v>2.0000000000000004E-2</v>
      </c>
    </row>
    <row r="25" spans="1:10" x14ac:dyDescent="0.25">
      <c r="A25" s="222"/>
      <c r="B25" s="225"/>
      <c r="C25" s="36" t="s">
        <v>22</v>
      </c>
      <c r="D25" s="36" t="s">
        <v>12</v>
      </c>
      <c r="E25" s="37">
        <v>0.22500000000000001</v>
      </c>
      <c r="F25" s="31">
        <v>22.087499999999999</v>
      </c>
      <c r="G25" s="34">
        <f t="shared" si="0"/>
        <v>4.9696875</v>
      </c>
      <c r="H25" s="39">
        <f>SUM(G25:G26)</f>
        <v>42.890662700000007</v>
      </c>
      <c r="I25" s="40"/>
      <c r="J25" s="156">
        <v>2.0000000000000004E-2</v>
      </c>
    </row>
    <row r="26" spans="1:10" x14ac:dyDescent="0.25">
      <c r="A26" s="222"/>
      <c r="B26" s="225"/>
      <c r="C26" s="36" t="s">
        <v>23</v>
      </c>
      <c r="D26" s="36" t="s">
        <v>12</v>
      </c>
      <c r="E26" s="37">
        <v>2.3248000000000002</v>
      </c>
      <c r="F26" s="31">
        <v>16.311500000000002</v>
      </c>
      <c r="G26" s="34">
        <f t="shared" si="0"/>
        <v>37.920975200000008</v>
      </c>
      <c r="H26" s="44"/>
      <c r="I26" s="40"/>
      <c r="J26" s="156">
        <v>2.0000000000000004E-2</v>
      </c>
    </row>
    <row r="27" spans="1:10" ht="15.75" thickBot="1" x14ac:dyDescent="0.3">
      <c r="A27" s="223"/>
      <c r="B27" s="226"/>
      <c r="C27" s="36"/>
      <c r="D27" s="36"/>
      <c r="E27" s="37"/>
      <c r="F27" s="31" t="s">
        <v>572</v>
      </c>
      <c r="G27" s="31" t="str">
        <f t="shared" si="0"/>
        <v/>
      </c>
      <c r="H27" s="35"/>
      <c r="I27" s="31"/>
      <c r="J27" s="156">
        <v>2.0000000000000004E-2</v>
      </c>
    </row>
    <row r="28" spans="1:10" ht="15.75" hidden="1" thickBot="1" x14ac:dyDescent="0.3">
      <c r="A28" s="221" t="s">
        <v>24</v>
      </c>
      <c r="B28" s="224" t="str">
        <f>INDEX(Orçamentária!A:B,MATCH(Composições!A28,Orçamentária!A:A,0),2)</f>
        <v>Demolição de concreto simples</v>
      </c>
      <c r="C28" s="41"/>
      <c r="D28" s="26" t="str">
        <f>TRIM(INDEX(Orçamentária!C:C,MATCH(Composições!A28,Orçamentária!A:A,0),1))</f>
        <v>m3</v>
      </c>
      <c r="E28" s="27"/>
      <c r="F28" s="42" t="s">
        <v>572</v>
      </c>
      <c r="G28" s="28" t="str">
        <f t="shared" si="0"/>
        <v/>
      </c>
      <c r="H28" s="29"/>
      <c r="I28" s="30"/>
      <c r="J28" s="156">
        <v>0</v>
      </c>
    </row>
    <row r="29" spans="1:10" ht="15.75" hidden="1" thickBot="1" x14ac:dyDescent="0.3">
      <c r="A29" s="222"/>
      <c r="B29" s="225"/>
      <c r="C29" s="32"/>
      <c r="D29" s="32"/>
      <c r="E29" s="33"/>
      <c r="F29" s="43" t="s">
        <v>572</v>
      </c>
      <c r="G29" s="31" t="str">
        <f t="shared" si="0"/>
        <v/>
      </c>
      <c r="H29" s="35"/>
      <c r="I29" s="31"/>
      <c r="J29" s="156">
        <v>0</v>
      </c>
    </row>
    <row r="30" spans="1:10" ht="15.75" hidden="1" thickBot="1" x14ac:dyDescent="0.3">
      <c r="A30" s="222"/>
      <c r="B30" s="225"/>
      <c r="C30" s="36" t="s">
        <v>22</v>
      </c>
      <c r="D30" s="36" t="s">
        <v>12</v>
      </c>
      <c r="E30" s="37">
        <v>1.3</v>
      </c>
      <c r="F30" s="31">
        <v>22.087499999999999</v>
      </c>
      <c r="G30" s="34">
        <f t="shared" si="0"/>
        <v>28.713749999999997</v>
      </c>
      <c r="H30" s="39">
        <f>SUM(G30:G31)</f>
        <v>240.76325000000003</v>
      </c>
      <c r="I30" s="40"/>
      <c r="J30" s="156">
        <v>0</v>
      </c>
    </row>
    <row r="31" spans="1:10" ht="15.75" hidden="1" thickBot="1" x14ac:dyDescent="0.3">
      <c r="A31" s="222"/>
      <c r="B31" s="225"/>
      <c r="C31" s="36" t="s">
        <v>23</v>
      </c>
      <c r="D31" s="36" t="s">
        <v>12</v>
      </c>
      <c r="E31" s="37">
        <v>13</v>
      </c>
      <c r="F31" s="31">
        <v>16.311500000000002</v>
      </c>
      <c r="G31" s="34">
        <f t="shared" si="0"/>
        <v>212.04950000000002</v>
      </c>
      <c r="H31" s="35"/>
      <c r="I31" s="31"/>
      <c r="J31" s="156">
        <v>0</v>
      </c>
    </row>
    <row r="32" spans="1:10" ht="15.75" hidden="1" thickBot="1" x14ac:dyDescent="0.3">
      <c r="A32" s="223"/>
      <c r="B32" s="226"/>
      <c r="C32" s="36"/>
      <c r="D32" s="36"/>
      <c r="E32" s="37"/>
      <c r="F32" s="31" t="s">
        <v>572</v>
      </c>
      <c r="G32" s="31" t="str">
        <f t="shared" si="0"/>
        <v/>
      </c>
      <c r="H32" s="35"/>
      <c r="I32" s="31"/>
      <c r="J32" s="156">
        <v>0</v>
      </c>
    </row>
    <row r="33" spans="1:10" ht="15.75" hidden="1" thickBot="1" x14ac:dyDescent="0.3">
      <c r="A33" s="221" t="s">
        <v>25</v>
      </c>
      <c r="B33" s="224" t="str">
        <f>INDEX(Orçamentária!A:B,MATCH(Composições!A33,Orçamentária!A:A,0),2)</f>
        <v>Demolição de contrapiso</v>
      </c>
      <c r="C33" s="41"/>
      <c r="D33" s="26" t="str">
        <f>TRIM(INDEX(Orçamentária!C:C,MATCH(Composições!A33,Orçamentária!A:A,0),1))</f>
        <v>m2</v>
      </c>
      <c r="E33" s="27"/>
      <c r="F33" s="42" t="s">
        <v>572</v>
      </c>
      <c r="G33" s="28" t="str">
        <f t="shared" si="0"/>
        <v/>
      </c>
      <c r="H33" s="29"/>
      <c r="I33" s="30"/>
      <c r="J33" s="156">
        <v>0</v>
      </c>
    </row>
    <row r="34" spans="1:10" ht="15.75" hidden="1" thickBot="1" x14ac:dyDescent="0.3">
      <c r="A34" s="222"/>
      <c r="B34" s="225"/>
      <c r="C34" s="32"/>
      <c r="D34" s="32"/>
      <c r="E34" s="33"/>
      <c r="F34" s="43" t="s">
        <v>572</v>
      </c>
      <c r="G34" s="31" t="str">
        <f t="shared" si="0"/>
        <v/>
      </c>
      <c r="H34" s="35"/>
      <c r="I34" s="31"/>
      <c r="J34" s="156">
        <v>0</v>
      </c>
    </row>
    <row r="35" spans="1:10" ht="15.75" hidden="1" thickBot="1" x14ac:dyDescent="0.3">
      <c r="A35" s="222"/>
      <c r="B35" s="225"/>
      <c r="C35" s="36" t="s">
        <v>23</v>
      </c>
      <c r="D35" s="36" t="s">
        <v>12</v>
      </c>
      <c r="E35" s="37">
        <v>0.7</v>
      </c>
      <c r="F35" s="31">
        <v>16.311500000000002</v>
      </c>
      <c r="G35" s="34">
        <f t="shared" si="0"/>
        <v>11.418050000000001</v>
      </c>
      <c r="H35" s="39">
        <f>SUM(G35:G35)</f>
        <v>11.418050000000001</v>
      </c>
      <c r="I35" s="40"/>
      <c r="J35" s="156">
        <v>0</v>
      </c>
    </row>
    <row r="36" spans="1:10" ht="15.75" hidden="1" thickBot="1" x14ac:dyDescent="0.3">
      <c r="A36" s="223"/>
      <c r="B36" s="226"/>
      <c r="C36" s="36"/>
      <c r="D36" s="36"/>
      <c r="E36" s="37"/>
      <c r="F36" s="31" t="s">
        <v>572</v>
      </c>
      <c r="G36" s="31" t="str">
        <f t="shared" si="0"/>
        <v/>
      </c>
      <c r="H36" s="35"/>
      <c r="I36" s="31"/>
      <c r="J36" s="156">
        <v>0</v>
      </c>
    </row>
    <row r="37" spans="1:10" ht="15.75" hidden="1" thickBot="1" x14ac:dyDescent="0.3">
      <c r="A37" s="221" t="s">
        <v>26</v>
      </c>
      <c r="B37" s="224" t="str">
        <f>INDEX(Orçamentária!A:B,MATCH(Composições!A37,Orçamentária!A:A,0),2)</f>
        <v>Demolição de fechamento ou parede em gesso acartonado</v>
      </c>
      <c r="C37" s="41"/>
      <c r="D37" s="26" t="str">
        <f>TRIM(INDEX(Orçamentária!C:C,MATCH(Composições!A37,Orçamentária!A:A,0),1))</f>
        <v>m2</v>
      </c>
      <c r="E37" s="27"/>
      <c r="F37" s="42" t="s">
        <v>572</v>
      </c>
      <c r="G37" s="28" t="str">
        <f t="shared" si="0"/>
        <v/>
      </c>
      <c r="H37" s="29"/>
      <c r="I37" s="30"/>
      <c r="J37" s="156">
        <v>0</v>
      </c>
    </row>
    <row r="38" spans="1:10" ht="15.75" hidden="1" thickBot="1" x14ac:dyDescent="0.3">
      <c r="A38" s="222"/>
      <c r="B38" s="225"/>
      <c r="C38" s="32"/>
      <c r="D38" s="32"/>
      <c r="E38" s="33"/>
      <c r="F38" s="43" t="s">
        <v>572</v>
      </c>
      <c r="G38" s="31" t="str">
        <f t="shared" si="0"/>
        <v/>
      </c>
      <c r="H38" s="35"/>
      <c r="I38" s="31"/>
      <c r="J38" s="156">
        <v>0</v>
      </c>
    </row>
    <row r="39" spans="1:10" ht="15.75" hidden="1" thickBot="1" x14ac:dyDescent="0.3">
      <c r="A39" s="222"/>
      <c r="B39" s="225"/>
      <c r="C39" s="36" t="s">
        <v>27</v>
      </c>
      <c r="D39" s="36" t="s">
        <v>12</v>
      </c>
      <c r="E39" s="37">
        <v>0.1186</v>
      </c>
      <c r="F39" s="31">
        <v>16.852999999999998</v>
      </c>
      <c r="G39" s="34">
        <f t="shared" si="0"/>
        <v>1.9987657999999997</v>
      </c>
      <c r="H39" s="39">
        <f>SUM(G39:G40)</f>
        <v>5.79771415</v>
      </c>
      <c r="I39" s="40"/>
      <c r="J39" s="156">
        <v>0</v>
      </c>
    </row>
    <row r="40" spans="1:10" ht="15.75" hidden="1" thickBot="1" x14ac:dyDescent="0.3">
      <c r="A40" s="222"/>
      <c r="B40" s="225"/>
      <c r="C40" s="36" t="s">
        <v>23</v>
      </c>
      <c r="D40" s="36" t="s">
        <v>12</v>
      </c>
      <c r="E40" s="37">
        <v>0.2329</v>
      </c>
      <c r="F40" s="31">
        <v>16.311500000000002</v>
      </c>
      <c r="G40" s="34">
        <f t="shared" si="0"/>
        <v>3.7989483500000003</v>
      </c>
      <c r="H40" s="45"/>
      <c r="I40" s="46"/>
      <c r="J40" s="156">
        <v>0</v>
      </c>
    </row>
    <row r="41" spans="1:10" ht="15.75" hidden="1" thickBot="1" x14ac:dyDescent="0.3">
      <c r="A41" s="223"/>
      <c r="B41" s="226"/>
      <c r="C41" s="36"/>
      <c r="D41" s="36"/>
      <c r="E41" s="37"/>
      <c r="F41" s="31" t="s">
        <v>572</v>
      </c>
      <c r="G41" s="31" t="str">
        <f t="shared" si="0"/>
        <v/>
      </c>
      <c r="H41" s="35"/>
      <c r="I41" s="31"/>
      <c r="J41" s="156">
        <v>0</v>
      </c>
    </row>
    <row r="42" spans="1:10" ht="15.75" hidden="1" thickBot="1" x14ac:dyDescent="0.3">
      <c r="A42" s="221" t="s">
        <v>28</v>
      </c>
      <c r="B42" s="224" t="str">
        <f>INDEX(Orçamentária!A:B,MATCH(Composições!A42,Orçamentária!A:A,0),2)</f>
        <v>Demolição de forro de gesso</v>
      </c>
      <c r="C42" s="41"/>
      <c r="D42" s="26" t="str">
        <f>TRIM(INDEX(Orçamentária!C:C,MATCH(Composições!A42,Orçamentária!A:A,0),1))</f>
        <v>m2</v>
      </c>
      <c r="E42" s="27"/>
      <c r="F42" s="42" t="s">
        <v>572</v>
      </c>
      <c r="G42" s="28" t="str">
        <f t="shared" si="0"/>
        <v/>
      </c>
      <c r="H42" s="29"/>
      <c r="I42" s="30"/>
      <c r="J42" s="156">
        <v>0</v>
      </c>
    </row>
    <row r="43" spans="1:10" ht="15.75" hidden="1" thickBot="1" x14ac:dyDescent="0.3">
      <c r="A43" s="222"/>
      <c r="B43" s="225"/>
      <c r="C43" s="32"/>
      <c r="D43" s="32"/>
      <c r="E43" s="33"/>
      <c r="F43" s="43" t="s">
        <v>572</v>
      </c>
      <c r="G43" s="31" t="str">
        <f t="shared" si="0"/>
        <v/>
      </c>
      <c r="H43" s="35"/>
      <c r="I43" s="31"/>
      <c r="J43" s="156">
        <v>0</v>
      </c>
    </row>
    <row r="44" spans="1:10" ht="15.75" hidden="1" thickBot="1" x14ac:dyDescent="0.3">
      <c r="A44" s="222"/>
      <c r="B44" s="225"/>
      <c r="C44" s="36" t="s">
        <v>27</v>
      </c>
      <c r="D44" s="36" t="s">
        <v>12</v>
      </c>
      <c r="E44" s="37">
        <v>2.58E-2</v>
      </c>
      <c r="F44" s="31">
        <v>16.852999999999998</v>
      </c>
      <c r="G44" s="34">
        <f t="shared" si="0"/>
        <v>0.43480739999999996</v>
      </c>
      <c r="H44" s="39">
        <f>SUM(G44:G45)</f>
        <v>1.26180045</v>
      </c>
      <c r="I44" s="40"/>
      <c r="J44" s="156">
        <v>0</v>
      </c>
    </row>
    <row r="45" spans="1:10" ht="15.75" hidden="1" thickBot="1" x14ac:dyDescent="0.3">
      <c r="A45" s="222"/>
      <c r="B45" s="225"/>
      <c r="C45" s="36" t="s">
        <v>23</v>
      </c>
      <c r="D45" s="36" t="s">
        <v>12</v>
      </c>
      <c r="E45" s="37">
        <v>5.0700000000000002E-2</v>
      </c>
      <c r="F45" s="31">
        <v>16.311500000000002</v>
      </c>
      <c r="G45" s="34">
        <f t="shared" si="0"/>
        <v>0.82699305000000012</v>
      </c>
      <c r="H45" s="35"/>
      <c r="I45" s="31"/>
      <c r="J45" s="156">
        <v>0</v>
      </c>
    </row>
    <row r="46" spans="1:10" ht="15.75" hidden="1" thickBot="1" x14ac:dyDescent="0.3">
      <c r="A46" s="223"/>
      <c r="B46" s="226"/>
      <c r="C46" s="36"/>
      <c r="D46" s="36"/>
      <c r="E46" s="37"/>
      <c r="F46" s="31" t="s">
        <v>572</v>
      </c>
      <c r="G46" s="31" t="str">
        <f t="shared" si="0"/>
        <v/>
      </c>
      <c r="H46" s="35"/>
      <c r="I46" s="31"/>
      <c r="J46" s="156">
        <v>0</v>
      </c>
    </row>
    <row r="47" spans="1:10" ht="15.75" hidden="1" thickBot="1" x14ac:dyDescent="0.3">
      <c r="A47" s="221" t="s">
        <v>29</v>
      </c>
      <c r="B47" s="224" t="str">
        <f>INDEX(Orçamentária!A:B,MATCH(Composições!A47,Orçamentária!A:A,0),2)</f>
        <v>Demolição de infraestrutura elétrica (eletrodutos, eletrocalhas, cabos)</v>
      </c>
      <c r="C47" s="41"/>
      <c r="D47" s="26" t="str">
        <f>TRIM(INDEX(Orçamentária!C:C,MATCH(Composições!A47,Orçamentária!A:A,0),1))</f>
        <v>m</v>
      </c>
      <c r="E47" s="27"/>
      <c r="F47" s="42" t="s">
        <v>572</v>
      </c>
      <c r="G47" s="28" t="str">
        <f t="shared" si="0"/>
        <v/>
      </c>
      <c r="H47" s="29"/>
      <c r="I47" s="30"/>
      <c r="J47" s="156">
        <v>0</v>
      </c>
    </row>
    <row r="48" spans="1:10" ht="15.75" hidden="1" thickBot="1" x14ac:dyDescent="0.3">
      <c r="A48" s="222"/>
      <c r="B48" s="225"/>
      <c r="C48" s="32"/>
      <c r="D48" s="32"/>
      <c r="E48" s="33"/>
      <c r="F48" s="43" t="s">
        <v>572</v>
      </c>
      <c r="G48" s="31" t="str">
        <f t="shared" si="0"/>
        <v/>
      </c>
      <c r="H48" s="35"/>
      <c r="I48" s="31"/>
      <c r="J48" s="156">
        <v>0</v>
      </c>
    </row>
    <row r="49" spans="1:10" ht="15.75" hidden="1" thickBot="1" x14ac:dyDescent="0.3">
      <c r="A49" s="222"/>
      <c r="B49" s="225"/>
      <c r="C49" s="36" t="s">
        <v>30</v>
      </c>
      <c r="D49" s="36" t="s">
        <v>12</v>
      </c>
      <c r="E49" s="37">
        <f>ROUND(0.0096*5,4)</f>
        <v>4.8000000000000001E-2</v>
      </c>
      <c r="F49" s="31">
        <v>22.268000000000001</v>
      </c>
      <c r="G49" s="34">
        <f t="shared" si="0"/>
        <v>1.068864</v>
      </c>
      <c r="H49" s="39">
        <f>SUM(G49:G50)</f>
        <v>2.6021450000000002</v>
      </c>
      <c r="I49" s="40"/>
      <c r="J49" s="156">
        <v>0</v>
      </c>
    </row>
    <row r="50" spans="1:10" ht="15.75" hidden="1" thickBot="1" x14ac:dyDescent="0.3">
      <c r="A50" s="222"/>
      <c r="B50" s="225"/>
      <c r="C50" s="36" t="s">
        <v>23</v>
      </c>
      <c r="D50" s="36" t="s">
        <v>12</v>
      </c>
      <c r="E50" s="37">
        <f>ROUND(0.0188*5,4)</f>
        <v>9.4E-2</v>
      </c>
      <c r="F50" s="31">
        <v>16.311500000000002</v>
      </c>
      <c r="G50" s="34">
        <f t="shared" si="0"/>
        <v>1.5332810000000001</v>
      </c>
      <c r="H50" s="35"/>
      <c r="I50" s="31"/>
      <c r="J50" s="156">
        <v>0</v>
      </c>
    </row>
    <row r="51" spans="1:10" ht="15.75" hidden="1" thickBot="1" x14ac:dyDescent="0.3">
      <c r="A51" s="223"/>
      <c r="B51" s="226"/>
      <c r="C51" s="36"/>
      <c r="D51" s="36"/>
      <c r="E51" s="37"/>
      <c r="F51" s="31" t="s">
        <v>572</v>
      </c>
      <c r="G51" s="31" t="str">
        <f t="shared" si="0"/>
        <v/>
      </c>
      <c r="H51" s="35"/>
      <c r="I51" s="31"/>
      <c r="J51" s="156">
        <v>0</v>
      </c>
    </row>
    <row r="52" spans="1:10" ht="15.75" hidden="1" thickBot="1" x14ac:dyDescent="0.3">
      <c r="A52" s="221" t="s">
        <v>31</v>
      </c>
      <c r="B52" s="224" t="str">
        <f>INDEX(Orçamentária!A:B,MATCH(Composições!A52,Orçamentária!A:A,0),2)</f>
        <v>Demolição de revestimento cerâmico, granito, mármore ou granitina</v>
      </c>
      <c r="C52" s="41"/>
      <c r="D52" s="26" t="str">
        <f>TRIM(INDEX(Orçamentária!C:C,MATCH(Composições!A52,Orçamentária!A:A,0),1))</f>
        <v>m2</v>
      </c>
      <c r="E52" s="27"/>
      <c r="F52" s="42" t="s">
        <v>572</v>
      </c>
      <c r="G52" s="28" t="str">
        <f t="shared" si="0"/>
        <v/>
      </c>
      <c r="H52" s="29"/>
      <c r="I52" s="30"/>
      <c r="J52" s="156">
        <v>0</v>
      </c>
    </row>
    <row r="53" spans="1:10" ht="15.75" hidden="1" thickBot="1" x14ac:dyDescent="0.3">
      <c r="A53" s="222"/>
      <c r="B53" s="225"/>
      <c r="C53" s="32"/>
      <c r="D53" s="32"/>
      <c r="E53" s="33"/>
      <c r="F53" s="43" t="s">
        <v>572</v>
      </c>
      <c r="G53" s="31" t="str">
        <f t="shared" si="0"/>
        <v/>
      </c>
      <c r="H53" s="35"/>
      <c r="I53" s="31"/>
      <c r="J53" s="156">
        <v>0</v>
      </c>
    </row>
    <row r="54" spans="1:10" ht="26.25" hidden="1" thickBot="1" x14ac:dyDescent="0.3">
      <c r="A54" s="222"/>
      <c r="B54" s="225"/>
      <c r="C54" s="36" t="s">
        <v>32</v>
      </c>
      <c r="D54" s="36" t="s">
        <v>33</v>
      </c>
      <c r="E54" s="37">
        <v>6.9900000000000004E-2</v>
      </c>
      <c r="F54" s="34">
        <v>20.253999999999998</v>
      </c>
      <c r="G54" s="34">
        <f t="shared" si="0"/>
        <v>1.4157545999999999</v>
      </c>
      <c r="H54" s="39">
        <f>SUM(G54:G57)</f>
        <v>9.4933034500000009</v>
      </c>
      <c r="I54" s="40"/>
      <c r="J54" s="156">
        <v>0</v>
      </c>
    </row>
    <row r="55" spans="1:10" ht="26.25" hidden="1" thickBot="1" x14ac:dyDescent="0.3">
      <c r="A55" s="222"/>
      <c r="B55" s="225"/>
      <c r="C55" s="36" t="s">
        <v>34</v>
      </c>
      <c r="D55" s="36" t="s">
        <v>35</v>
      </c>
      <c r="E55" s="37">
        <v>4.82E-2</v>
      </c>
      <c r="F55" s="34">
        <v>18.829000000000001</v>
      </c>
      <c r="G55" s="34">
        <f t="shared" si="0"/>
        <v>0.90755780000000008</v>
      </c>
      <c r="H55" s="35"/>
      <c r="I55" s="31"/>
      <c r="J55" s="156">
        <v>0</v>
      </c>
    </row>
    <row r="56" spans="1:10" ht="15.75" hidden="1" thickBot="1" x14ac:dyDescent="0.3">
      <c r="A56" s="222"/>
      <c r="B56" s="225"/>
      <c r="C56" s="36" t="s">
        <v>36</v>
      </c>
      <c r="D56" s="36" t="s">
        <v>12</v>
      </c>
      <c r="E56" s="37">
        <v>0.1055</v>
      </c>
      <c r="F56" s="31">
        <v>22.011500000000002</v>
      </c>
      <c r="G56" s="34">
        <f t="shared" si="0"/>
        <v>2.3222132499999999</v>
      </c>
      <c r="H56" s="35"/>
      <c r="I56" s="31"/>
      <c r="J56" s="156">
        <v>0</v>
      </c>
    </row>
    <row r="57" spans="1:10" ht="15.75" hidden="1" thickBot="1" x14ac:dyDescent="0.3">
      <c r="A57" s="222"/>
      <c r="B57" s="225"/>
      <c r="C57" s="36" t="s">
        <v>23</v>
      </c>
      <c r="D57" s="36" t="s">
        <v>12</v>
      </c>
      <c r="E57" s="37">
        <v>0.29720000000000002</v>
      </c>
      <c r="F57" s="31">
        <v>16.311500000000002</v>
      </c>
      <c r="G57" s="34">
        <f t="shared" si="0"/>
        <v>4.8477778000000011</v>
      </c>
      <c r="H57" s="35"/>
      <c r="I57" s="31"/>
      <c r="J57" s="156">
        <v>0</v>
      </c>
    </row>
    <row r="58" spans="1:10" ht="15.75" hidden="1" thickBot="1" x14ac:dyDescent="0.3">
      <c r="A58" s="223"/>
      <c r="B58" s="226"/>
      <c r="C58" s="36"/>
      <c r="D58" s="36"/>
      <c r="E58" s="37"/>
      <c r="F58" s="31" t="s">
        <v>572</v>
      </c>
      <c r="G58" s="31" t="str">
        <f t="shared" si="0"/>
        <v/>
      </c>
      <c r="H58" s="35"/>
      <c r="I58" s="31"/>
      <c r="J58" s="156">
        <v>0</v>
      </c>
    </row>
    <row r="59" spans="1:10" ht="15.75" hidden="1" thickBot="1" x14ac:dyDescent="0.3">
      <c r="A59" s="221" t="s">
        <v>37</v>
      </c>
      <c r="B59" s="224" t="str">
        <f>INDEX(Orçamentária!A:B,MATCH(Composições!A59,Orçamentária!A:A,0),2)</f>
        <v>Demolição de revestimento em argamassa</v>
      </c>
      <c r="C59" s="41"/>
      <c r="D59" s="26" t="str">
        <f>TRIM(INDEX(Orçamentária!C:C,MATCH(Composições!A59,Orçamentária!A:A,0),1))</f>
        <v>m2</v>
      </c>
      <c r="E59" s="27"/>
      <c r="F59" s="42" t="s">
        <v>572</v>
      </c>
      <c r="G59" s="28" t="str">
        <f t="shared" si="0"/>
        <v/>
      </c>
      <c r="H59" s="29"/>
      <c r="I59" s="30"/>
      <c r="J59" s="156">
        <v>0</v>
      </c>
    </row>
    <row r="60" spans="1:10" ht="15.75" hidden="1" thickBot="1" x14ac:dyDescent="0.3">
      <c r="A60" s="222"/>
      <c r="B60" s="225"/>
      <c r="C60" s="32"/>
      <c r="D60" s="32"/>
      <c r="E60" s="33"/>
      <c r="F60" s="43" t="s">
        <v>572</v>
      </c>
      <c r="G60" s="31" t="str">
        <f t="shared" si="0"/>
        <v/>
      </c>
      <c r="H60" s="35"/>
      <c r="I60" s="31"/>
      <c r="J60" s="156">
        <v>0</v>
      </c>
    </row>
    <row r="61" spans="1:10" ht="15.75" hidden="1" thickBot="1" x14ac:dyDescent="0.3">
      <c r="A61" s="222"/>
      <c r="B61" s="225"/>
      <c r="C61" s="36" t="s">
        <v>22</v>
      </c>
      <c r="D61" s="36" t="s">
        <v>12</v>
      </c>
      <c r="E61" s="37">
        <v>3.7400000000000003E-2</v>
      </c>
      <c r="F61" s="31">
        <v>22.087499999999999</v>
      </c>
      <c r="G61" s="34">
        <f t="shared" si="0"/>
        <v>0.82607249999999999</v>
      </c>
      <c r="H61" s="39">
        <f>SUM(G61:G62)</f>
        <v>2.54367345</v>
      </c>
      <c r="I61" s="40"/>
      <c r="J61" s="156">
        <v>0</v>
      </c>
    </row>
    <row r="62" spans="1:10" ht="15.75" hidden="1" thickBot="1" x14ac:dyDescent="0.3">
      <c r="A62" s="222"/>
      <c r="B62" s="225"/>
      <c r="C62" s="36" t="s">
        <v>23</v>
      </c>
      <c r="D62" s="36" t="s">
        <v>12</v>
      </c>
      <c r="E62" s="37">
        <v>0.1053</v>
      </c>
      <c r="F62" s="31">
        <v>16.311500000000002</v>
      </c>
      <c r="G62" s="34">
        <f t="shared" si="0"/>
        <v>1.7176009500000002</v>
      </c>
      <c r="H62" s="35"/>
      <c r="I62" s="31"/>
      <c r="J62" s="156">
        <v>0</v>
      </c>
    </row>
    <row r="63" spans="1:10" ht="15.75" hidden="1" thickBot="1" x14ac:dyDescent="0.3">
      <c r="A63" s="223"/>
      <c r="B63" s="226"/>
      <c r="C63" s="36"/>
      <c r="D63" s="36"/>
      <c r="E63" s="37"/>
      <c r="F63" s="31" t="s">
        <v>572</v>
      </c>
      <c r="G63" s="31" t="str">
        <f t="shared" si="0"/>
        <v/>
      </c>
      <c r="H63" s="35"/>
      <c r="I63" s="31"/>
      <c r="J63" s="156">
        <v>0</v>
      </c>
    </row>
    <row r="64" spans="1:10" ht="15.75" hidden="1" thickBot="1" x14ac:dyDescent="0.3">
      <c r="A64" s="221" t="s">
        <v>38</v>
      </c>
      <c r="B64" s="224" t="str">
        <f>INDEX(Orçamentária!A:B,MATCH(Composições!A64,Orçamentária!A:A,0),2)</f>
        <v>Demolição de tubulação hidrossanitária embutida com conexões e acessórios</v>
      </c>
      <c r="C64" s="41"/>
      <c r="D64" s="26" t="str">
        <f>TRIM(INDEX(Orçamentária!C:C,MATCH(Composições!A64,Orçamentária!A:A,0),1))</f>
        <v>m</v>
      </c>
      <c r="E64" s="27"/>
      <c r="F64" s="42" t="s">
        <v>572</v>
      </c>
      <c r="G64" s="28" t="str">
        <f t="shared" si="0"/>
        <v/>
      </c>
      <c r="H64" s="29"/>
      <c r="I64" s="30"/>
      <c r="J64" s="156">
        <v>0</v>
      </c>
    </row>
    <row r="65" spans="1:10" ht="15.75" hidden="1" thickBot="1" x14ac:dyDescent="0.3">
      <c r="A65" s="222"/>
      <c r="B65" s="225"/>
      <c r="C65" s="32"/>
      <c r="D65" s="32"/>
      <c r="E65" s="33"/>
      <c r="F65" s="43" t="s">
        <v>572</v>
      </c>
      <c r="G65" s="31" t="str">
        <f t="shared" si="0"/>
        <v/>
      </c>
      <c r="H65" s="35"/>
      <c r="I65" s="31"/>
      <c r="J65" s="156">
        <v>0</v>
      </c>
    </row>
    <row r="66" spans="1:10" ht="15.75" hidden="1" thickBot="1" x14ac:dyDescent="0.3">
      <c r="A66" s="222"/>
      <c r="B66" s="225"/>
      <c r="C66" s="36" t="s">
        <v>39</v>
      </c>
      <c r="D66" s="47" t="s">
        <v>12</v>
      </c>
      <c r="E66" s="37">
        <v>7.1000000000000004E-3</v>
      </c>
      <c r="F66" s="31">
        <v>21.622</v>
      </c>
      <c r="G66" s="34">
        <f t="shared" si="0"/>
        <v>0.15351620000000002</v>
      </c>
      <c r="H66" s="39">
        <f>SUM(G66:G67)</f>
        <v>0.38187720000000003</v>
      </c>
      <c r="I66" s="40"/>
      <c r="J66" s="156">
        <v>0</v>
      </c>
    </row>
    <row r="67" spans="1:10" ht="15.75" hidden="1" thickBot="1" x14ac:dyDescent="0.3">
      <c r="A67" s="222"/>
      <c r="B67" s="225"/>
      <c r="C67" s="36" t="s">
        <v>23</v>
      </c>
      <c r="D67" s="47" t="s">
        <v>12</v>
      </c>
      <c r="E67" s="37">
        <v>1.4E-2</v>
      </c>
      <c r="F67" s="31">
        <v>16.311500000000002</v>
      </c>
      <c r="G67" s="34">
        <f t="shared" si="0"/>
        <v>0.22836100000000004</v>
      </c>
      <c r="H67" s="35"/>
      <c r="I67" s="31"/>
      <c r="J67" s="156">
        <v>0</v>
      </c>
    </row>
    <row r="68" spans="1:10" ht="15.75" hidden="1" thickBot="1" x14ac:dyDescent="0.3">
      <c r="A68" s="223"/>
      <c r="B68" s="226"/>
      <c r="C68" s="36"/>
      <c r="D68" s="36"/>
      <c r="E68" s="37"/>
      <c r="F68" s="31" t="s">
        <v>572</v>
      </c>
      <c r="G68" s="31" t="str">
        <f t="shared" si="0"/>
        <v/>
      </c>
      <c r="H68" s="35"/>
      <c r="I68" s="31"/>
      <c r="J68" s="156">
        <v>0</v>
      </c>
    </row>
    <row r="69" spans="1:10" ht="15.75" hidden="1" thickBot="1" x14ac:dyDescent="0.3">
      <c r="A69" s="221" t="s">
        <v>40</v>
      </c>
      <c r="B69" s="224" t="str">
        <f>INDEX(Orçamentária!A:B,MATCH(Composições!A69,Orçamentária!A:A,0),2)</f>
        <v>Demolição em concreto armado</v>
      </c>
      <c r="C69" s="41"/>
      <c r="D69" s="26" t="str">
        <f>TRIM(INDEX(Orçamentária!C:C,MATCH(Composições!A69,Orçamentária!A:A,0),1))</f>
        <v>m3</v>
      </c>
      <c r="E69" s="27"/>
      <c r="F69" s="42" t="s">
        <v>572</v>
      </c>
      <c r="G69" s="28" t="str">
        <f t="shared" si="0"/>
        <v/>
      </c>
      <c r="H69" s="29"/>
      <c r="I69" s="30"/>
      <c r="J69" s="156">
        <v>0</v>
      </c>
    </row>
    <row r="70" spans="1:10" ht="15.75" hidden="1" thickBot="1" x14ac:dyDescent="0.3">
      <c r="A70" s="222"/>
      <c r="B70" s="225"/>
      <c r="C70" s="32"/>
      <c r="D70" s="32"/>
      <c r="E70" s="33"/>
      <c r="F70" s="43" t="s">
        <v>572</v>
      </c>
      <c r="G70" s="31" t="str">
        <f t="shared" ref="G70:G133" si="1">IF(ISNUMBER(F70),E70*F70,"")</f>
        <v/>
      </c>
      <c r="H70" s="35"/>
      <c r="I70" s="31"/>
      <c r="J70" s="156">
        <v>0</v>
      </c>
    </row>
    <row r="71" spans="1:10" ht="26.25" hidden="1" thickBot="1" x14ac:dyDescent="0.3">
      <c r="A71" s="222"/>
      <c r="B71" s="225"/>
      <c r="C71" s="36" t="s">
        <v>32</v>
      </c>
      <c r="D71" s="36" t="s">
        <v>33</v>
      </c>
      <c r="E71" s="37">
        <v>3.2467999999999999</v>
      </c>
      <c r="F71" s="34">
        <v>20.253999999999998</v>
      </c>
      <c r="G71" s="34">
        <f t="shared" si="1"/>
        <v>65.760687199999992</v>
      </c>
      <c r="H71" s="39">
        <f>SUM(G71:G75)</f>
        <v>221.34799550000002</v>
      </c>
      <c r="I71" s="40"/>
      <c r="J71" s="156">
        <v>0</v>
      </c>
    </row>
    <row r="72" spans="1:10" ht="26.25" hidden="1" thickBot="1" x14ac:dyDescent="0.3">
      <c r="A72" s="222"/>
      <c r="B72" s="225"/>
      <c r="C72" s="36" t="s">
        <v>34</v>
      </c>
      <c r="D72" s="36" t="s">
        <v>35</v>
      </c>
      <c r="E72" s="37">
        <v>0.92020000000000002</v>
      </c>
      <c r="F72" s="34">
        <v>18.829000000000001</v>
      </c>
      <c r="G72" s="34">
        <f t="shared" si="1"/>
        <v>17.326445800000002</v>
      </c>
      <c r="H72" s="35"/>
      <c r="I72" s="31"/>
      <c r="J72" s="156">
        <v>0</v>
      </c>
    </row>
    <row r="73" spans="1:10" ht="26.25" hidden="1" thickBot="1" x14ac:dyDescent="0.3">
      <c r="A73" s="222"/>
      <c r="B73" s="225"/>
      <c r="C73" s="36" t="s">
        <v>41</v>
      </c>
      <c r="D73" s="36" t="s">
        <v>42</v>
      </c>
      <c r="E73" s="37">
        <v>0.28349999999999997</v>
      </c>
      <c r="F73" s="34">
        <v>59.593499999999992</v>
      </c>
      <c r="G73" s="31">
        <f t="shared" si="1"/>
        <v>16.894757249999998</v>
      </c>
      <c r="H73" s="35"/>
      <c r="I73" s="31"/>
      <c r="J73" s="156">
        <v>0</v>
      </c>
    </row>
    <row r="74" spans="1:10" ht="15.75" hidden="1" thickBot="1" x14ac:dyDescent="0.3">
      <c r="A74" s="222"/>
      <c r="B74" s="225"/>
      <c r="C74" s="36" t="s">
        <v>22</v>
      </c>
      <c r="D74" s="36" t="s">
        <v>12</v>
      </c>
      <c r="E74" s="37">
        <v>0.63660000000000005</v>
      </c>
      <c r="F74" s="31">
        <v>22.087499999999999</v>
      </c>
      <c r="G74" s="34">
        <f t="shared" si="1"/>
        <v>14.060902500000001</v>
      </c>
      <c r="H74" s="35"/>
      <c r="I74" s="31"/>
      <c r="J74" s="156">
        <v>0</v>
      </c>
    </row>
    <row r="75" spans="1:10" ht="15.75" hidden="1" thickBot="1" x14ac:dyDescent="0.3">
      <c r="A75" s="222"/>
      <c r="B75" s="225"/>
      <c r="C75" s="36" t="s">
        <v>23</v>
      </c>
      <c r="D75" s="36" t="s">
        <v>12</v>
      </c>
      <c r="E75" s="37">
        <v>6.5785</v>
      </c>
      <c r="F75" s="31">
        <v>16.311500000000002</v>
      </c>
      <c r="G75" s="34">
        <f t="shared" si="1"/>
        <v>107.30520275000002</v>
      </c>
      <c r="H75" s="35"/>
      <c r="I75" s="31"/>
      <c r="J75" s="156">
        <v>0</v>
      </c>
    </row>
    <row r="76" spans="1:10" ht="15.75" hidden="1" thickBot="1" x14ac:dyDescent="0.3">
      <c r="A76" s="223"/>
      <c r="B76" s="226"/>
      <c r="C76" s="36"/>
      <c r="D76" s="36"/>
      <c r="E76" s="37"/>
      <c r="F76" s="31" t="s">
        <v>572</v>
      </c>
      <c r="G76" s="31" t="str">
        <f t="shared" si="1"/>
        <v/>
      </c>
      <c r="H76" s="35"/>
      <c r="I76" s="31"/>
      <c r="J76" s="156">
        <v>0</v>
      </c>
    </row>
    <row r="77" spans="1:10" ht="15.75" hidden="1" thickBot="1" x14ac:dyDescent="0.3">
      <c r="A77" s="238" t="s">
        <v>43</v>
      </c>
      <c r="B77" s="224" t="str">
        <f>INDEX(Orçamentária!A:B,MATCH(Composições!A77,Orçamentária!A:A,0),2)</f>
        <v>Remoção de armários</v>
      </c>
      <c r="C77" s="41"/>
      <c r="D77" s="26" t="str">
        <f>TRIM(INDEX(Orçamentária!C:C,MATCH(Composições!A77,Orçamentária!A:A,0),1))</f>
        <v>m2</v>
      </c>
      <c r="E77" s="27"/>
      <c r="F77" s="42" t="s">
        <v>572</v>
      </c>
      <c r="G77" s="28" t="str">
        <f t="shared" si="1"/>
        <v/>
      </c>
      <c r="H77" s="29"/>
      <c r="I77" s="30"/>
      <c r="J77" s="156">
        <v>0</v>
      </c>
    </row>
    <row r="78" spans="1:10" ht="15.75" hidden="1" thickBot="1" x14ac:dyDescent="0.3">
      <c r="A78" s="239"/>
      <c r="B78" s="225"/>
      <c r="C78" s="32"/>
      <c r="D78" s="32"/>
      <c r="E78" s="33"/>
      <c r="F78" s="43" t="s">
        <v>572</v>
      </c>
      <c r="G78" s="31" t="str">
        <f t="shared" si="1"/>
        <v/>
      </c>
      <c r="H78" s="35"/>
      <c r="I78" s="31"/>
      <c r="J78" s="156">
        <v>0</v>
      </c>
    </row>
    <row r="79" spans="1:10" ht="15.75" hidden="1" thickBot="1" x14ac:dyDescent="0.3">
      <c r="A79" s="239"/>
      <c r="B79" s="225"/>
      <c r="C79" s="36" t="s">
        <v>44</v>
      </c>
      <c r="D79" s="36" t="s">
        <v>12</v>
      </c>
      <c r="E79" s="37">
        <v>0.35</v>
      </c>
      <c r="F79" s="31">
        <v>21.916499999999999</v>
      </c>
      <c r="G79" s="34">
        <f t="shared" si="1"/>
        <v>7.670774999999999</v>
      </c>
      <c r="H79" s="39">
        <f>SUM(G79:G80)</f>
        <v>13.379799999999999</v>
      </c>
      <c r="I79" s="40"/>
      <c r="J79" s="156">
        <v>0</v>
      </c>
    </row>
    <row r="80" spans="1:10" ht="15.75" hidden="1" thickBot="1" x14ac:dyDescent="0.3">
      <c r="A80" s="239"/>
      <c r="B80" s="225"/>
      <c r="C80" s="36" t="s">
        <v>23</v>
      </c>
      <c r="D80" s="36" t="s">
        <v>12</v>
      </c>
      <c r="E80" s="37">
        <v>0.35</v>
      </c>
      <c r="F80" s="31">
        <v>16.311500000000002</v>
      </c>
      <c r="G80" s="34">
        <f t="shared" si="1"/>
        <v>5.7090250000000005</v>
      </c>
      <c r="H80" s="45"/>
      <c r="I80" s="46"/>
      <c r="J80" s="156">
        <v>0</v>
      </c>
    </row>
    <row r="81" spans="1:10" ht="15.75" hidden="1" thickBot="1" x14ac:dyDescent="0.3">
      <c r="A81" s="239"/>
      <c r="B81" s="225"/>
      <c r="C81" s="36"/>
      <c r="D81" s="36"/>
      <c r="E81" s="37"/>
      <c r="F81" s="31" t="s">
        <v>572</v>
      </c>
      <c r="G81" s="31" t="str">
        <f t="shared" si="1"/>
        <v/>
      </c>
      <c r="H81" s="35"/>
      <c r="I81" s="31"/>
      <c r="J81" s="156">
        <v>0</v>
      </c>
    </row>
    <row r="82" spans="1:10" ht="15.75" hidden="1" thickBot="1" x14ac:dyDescent="0.3">
      <c r="A82" s="221" t="s">
        <v>45</v>
      </c>
      <c r="B82" s="224" t="str">
        <f>INDEX(Orçamentária!A:B,MATCH(Composições!A82,Orçamentária!A:A,0),2)</f>
        <v>Remoção de bancadas</v>
      </c>
      <c r="C82" s="41"/>
      <c r="D82" s="26" t="str">
        <f>TRIM(INDEX(Orçamentária!C:C,MATCH(Composições!A82,Orçamentária!A:A,0),1))</f>
        <v>m2</v>
      </c>
      <c r="E82" s="27"/>
      <c r="F82" s="42" t="s">
        <v>572</v>
      </c>
      <c r="G82" s="28" t="str">
        <f t="shared" si="1"/>
        <v/>
      </c>
      <c r="H82" s="29"/>
      <c r="I82" s="30"/>
      <c r="J82" s="156">
        <v>0</v>
      </c>
    </row>
    <row r="83" spans="1:10" ht="15.75" hidden="1" thickBot="1" x14ac:dyDescent="0.3">
      <c r="A83" s="222"/>
      <c r="B83" s="225"/>
      <c r="C83" s="32"/>
      <c r="D83" s="32"/>
      <c r="E83" s="33"/>
      <c r="F83" s="43" t="s">
        <v>572</v>
      </c>
      <c r="G83" s="31" t="str">
        <f t="shared" si="1"/>
        <v/>
      </c>
      <c r="H83" s="35"/>
      <c r="I83" s="31"/>
      <c r="J83" s="156">
        <v>0</v>
      </c>
    </row>
    <row r="84" spans="1:10" ht="15.75" hidden="1" thickBot="1" x14ac:dyDescent="0.3">
      <c r="A84" s="222"/>
      <c r="B84" s="225"/>
      <c r="C84" s="36" t="s">
        <v>22</v>
      </c>
      <c r="D84" s="36" t="s">
        <v>12</v>
      </c>
      <c r="E84" s="37">
        <v>0.15</v>
      </c>
      <c r="F84" s="31">
        <v>22.087499999999999</v>
      </c>
      <c r="G84" s="34">
        <f t="shared" si="1"/>
        <v>3.3131249999999999</v>
      </c>
      <c r="H84" s="39">
        <f>SUM(G84:G85)</f>
        <v>19.624625000000002</v>
      </c>
      <c r="I84" s="40"/>
      <c r="J84" s="156">
        <v>0</v>
      </c>
    </row>
    <row r="85" spans="1:10" ht="15.75" hidden="1" thickBot="1" x14ac:dyDescent="0.3">
      <c r="A85" s="222"/>
      <c r="B85" s="225"/>
      <c r="C85" s="36" t="s">
        <v>23</v>
      </c>
      <c r="D85" s="36" t="s">
        <v>12</v>
      </c>
      <c r="E85" s="37">
        <v>1</v>
      </c>
      <c r="F85" s="31">
        <v>16.311500000000002</v>
      </c>
      <c r="G85" s="34">
        <f t="shared" si="1"/>
        <v>16.311500000000002</v>
      </c>
      <c r="H85" s="35"/>
      <c r="I85" s="31"/>
      <c r="J85" s="156">
        <v>0</v>
      </c>
    </row>
    <row r="86" spans="1:10" ht="15.75" hidden="1" thickBot="1" x14ac:dyDescent="0.3">
      <c r="A86" s="223"/>
      <c r="B86" s="226"/>
      <c r="C86" s="36"/>
      <c r="D86" s="36"/>
      <c r="E86" s="37"/>
      <c r="F86" s="31" t="s">
        <v>572</v>
      </c>
      <c r="G86" s="31" t="str">
        <f t="shared" si="1"/>
        <v/>
      </c>
      <c r="H86" s="35"/>
      <c r="I86" s="31"/>
      <c r="J86" s="156">
        <v>0</v>
      </c>
    </row>
    <row r="87" spans="1:10" ht="15.75" hidden="1" thickBot="1" x14ac:dyDescent="0.3">
      <c r="A87" s="221" t="s">
        <v>46</v>
      </c>
      <c r="B87" s="224" t="str">
        <f>INDEX(Orçamentária!A:B,MATCH(Composições!A87,Orçamentária!A:A,0),2)</f>
        <v>Remoção de batentes de madeira</v>
      </c>
      <c r="C87" s="41"/>
      <c r="D87" s="26" t="str">
        <f>TRIM(INDEX(Orçamentária!C:C,MATCH(Composições!A87,Orçamentária!A:A,0),1))</f>
        <v>un</v>
      </c>
      <c r="E87" s="27"/>
      <c r="F87" s="42" t="s">
        <v>572</v>
      </c>
      <c r="G87" s="28" t="str">
        <f t="shared" si="1"/>
        <v/>
      </c>
      <c r="H87" s="29"/>
      <c r="I87" s="30"/>
      <c r="J87" s="156">
        <v>0</v>
      </c>
    </row>
    <row r="88" spans="1:10" ht="15.75" hidden="1" thickBot="1" x14ac:dyDescent="0.3">
      <c r="A88" s="222"/>
      <c r="B88" s="225"/>
      <c r="C88" s="32"/>
      <c r="D88" s="32"/>
      <c r="E88" s="33"/>
      <c r="F88" s="43" t="s">
        <v>572</v>
      </c>
      <c r="G88" s="31" t="str">
        <f t="shared" si="1"/>
        <v/>
      </c>
      <c r="H88" s="35"/>
      <c r="I88" s="31"/>
      <c r="J88" s="156">
        <v>0</v>
      </c>
    </row>
    <row r="89" spans="1:10" ht="15.75" hidden="1" thickBot="1" x14ac:dyDescent="0.3">
      <c r="A89" s="222"/>
      <c r="B89" s="225"/>
      <c r="C89" s="36" t="s">
        <v>22</v>
      </c>
      <c r="D89" s="36" t="s">
        <v>12</v>
      </c>
      <c r="E89" s="37">
        <f>0.08/2</f>
        <v>0.04</v>
      </c>
      <c r="F89" s="31">
        <v>22.087499999999999</v>
      </c>
      <c r="G89" s="34">
        <f t="shared" si="1"/>
        <v>0.88349999999999995</v>
      </c>
      <c r="H89" s="39">
        <f>SUM(G89:G90)</f>
        <v>7.408100000000001</v>
      </c>
      <c r="I89" s="40"/>
      <c r="J89" s="156">
        <v>0</v>
      </c>
    </row>
    <row r="90" spans="1:10" ht="15.75" hidden="1" thickBot="1" x14ac:dyDescent="0.3">
      <c r="A90" s="222"/>
      <c r="B90" s="225"/>
      <c r="C90" s="36" t="s">
        <v>23</v>
      </c>
      <c r="D90" s="36" t="s">
        <v>12</v>
      </c>
      <c r="E90" s="37">
        <f>0.8/2</f>
        <v>0.4</v>
      </c>
      <c r="F90" s="31">
        <v>16.311500000000002</v>
      </c>
      <c r="G90" s="34">
        <f t="shared" si="1"/>
        <v>6.5246000000000013</v>
      </c>
      <c r="H90" s="35"/>
      <c r="I90" s="31"/>
      <c r="J90" s="156">
        <v>0</v>
      </c>
    </row>
    <row r="91" spans="1:10" ht="15.75" hidden="1" thickBot="1" x14ac:dyDescent="0.3">
      <c r="A91" s="222"/>
      <c r="B91" s="225"/>
      <c r="C91" s="36"/>
      <c r="D91" s="36"/>
      <c r="E91" s="37"/>
      <c r="F91" s="34" t="s">
        <v>572</v>
      </c>
      <c r="G91" s="34" t="str">
        <f t="shared" si="1"/>
        <v/>
      </c>
      <c r="H91" s="35"/>
      <c r="I91" s="31"/>
      <c r="J91" s="156">
        <v>0</v>
      </c>
    </row>
    <row r="92" spans="1:10" ht="15.75" hidden="1" thickBot="1" x14ac:dyDescent="0.3">
      <c r="A92" s="221" t="s">
        <v>47</v>
      </c>
      <c r="B92" s="224" t="str">
        <f>INDEX(Orçamentária!A:B,MATCH(Composições!A92,Orçamentária!A:A,0),2)</f>
        <v>Remoção de canaleta em alumínio</v>
      </c>
      <c r="C92" s="41"/>
      <c r="D92" s="26" t="str">
        <f>TRIM(INDEX(Orçamentária!C:C,MATCH(Composições!A92,Orçamentária!A:A,0),1))</f>
        <v>m</v>
      </c>
      <c r="E92" s="27"/>
      <c r="F92" s="42" t="s">
        <v>572</v>
      </c>
      <c r="G92" s="28" t="str">
        <f t="shared" si="1"/>
        <v/>
      </c>
      <c r="H92" s="29"/>
      <c r="I92" s="30"/>
      <c r="J92" s="156">
        <v>0</v>
      </c>
    </row>
    <row r="93" spans="1:10" ht="15.75" hidden="1" thickBot="1" x14ac:dyDescent="0.3">
      <c r="A93" s="222"/>
      <c r="B93" s="225"/>
      <c r="C93" s="32"/>
      <c r="D93" s="32"/>
      <c r="E93" s="33"/>
      <c r="F93" s="43" t="s">
        <v>572</v>
      </c>
      <c r="G93" s="31" t="str">
        <f t="shared" si="1"/>
        <v/>
      </c>
      <c r="H93" s="35"/>
      <c r="I93" s="31"/>
      <c r="J93" s="156">
        <v>0</v>
      </c>
    </row>
    <row r="94" spans="1:10" ht="15.75" hidden="1" thickBot="1" x14ac:dyDescent="0.3">
      <c r="A94" s="222"/>
      <c r="B94" s="225"/>
      <c r="C94" s="36" t="s">
        <v>30</v>
      </c>
      <c r="D94" s="47" t="s">
        <v>12</v>
      </c>
      <c r="E94" s="37">
        <f>0.75*0.1</f>
        <v>7.5000000000000011E-2</v>
      </c>
      <c r="F94" s="31">
        <v>22.268000000000001</v>
      </c>
      <c r="G94" s="34">
        <f t="shared" si="1"/>
        <v>1.6701000000000004</v>
      </c>
      <c r="H94" s="39">
        <f>SUM(G94:G95)</f>
        <v>4.1168250000000013</v>
      </c>
      <c r="I94" s="40"/>
      <c r="J94" s="156">
        <v>0</v>
      </c>
    </row>
    <row r="95" spans="1:10" ht="15.75" hidden="1" thickBot="1" x14ac:dyDescent="0.3">
      <c r="A95" s="222"/>
      <c r="B95" s="225"/>
      <c r="C95" s="36" t="s">
        <v>23</v>
      </c>
      <c r="D95" s="47" t="s">
        <v>12</v>
      </c>
      <c r="E95" s="37">
        <f>0.75*0.2</f>
        <v>0.15000000000000002</v>
      </c>
      <c r="F95" s="31">
        <v>16.311500000000002</v>
      </c>
      <c r="G95" s="34">
        <f t="shared" si="1"/>
        <v>2.4467250000000007</v>
      </c>
      <c r="H95" s="35"/>
      <c r="I95" s="31"/>
      <c r="J95" s="156">
        <v>0</v>
      </c>
    </row>
    <row r="96" spans="1:10" ht="15.75" hidden="1" thickBot="1" x14ac:dyDescent="0.3">
      <c r="A96" s="223"/>
      <c r="B96" s="226"/>
      <c r="C96" s="36"/>
      <c r="D96" s="36"/>
      <c r="E96" s="37"/>
      <c r="F96" s="31" t="s">
        <v>572</v>
      </c>
      <c r="G96" s="31" t="str">
        <f t="shared" si="1"/>
        <v/>
      </c>
      <c r="H96" s="35"/>
      <c r="I96" s="31"/>
      <c r="J96" s="156">
        <v>0</v>
      </c>
    </row>
    <row r="97" spans="1:10" ht="15.75" hidden="1" thickBot="1" x14ac:dyDescent="0.3">
      <c r="A97" s="221" t="s">
        <v>48</v>
      </c>
      <c r="B97" s="224" t="str">
        <f>INDEX(Orçamentária!A:B,MATCH(Composições!A97,Orçamentária!A:A,0),2)</f>
        <v>Remoção de carpete</v>
      </c>
      <c r="C97" s="41"/>
      <c r="D97" s="26" t="str">
        <f>TRIM(INDEX(Orçamentária!C:C,MATCH(Composições!A97,Orçamentária!A:A,0),1))</f>
        <v>m2</v>
      </c>
      <c r="E97" s="27"/>
      <c r="F97" s="42" t="s">
        <v>572</v>
      </c>
      <c r="G97" s="28" t="str">
        <f t="shared" si="1"/>
        <v/>
      </c>
      <c r="H97" s="29"/>
      <c r="I97" s="30"/>
      <c r="J97" s="156">
        <v>0</v>
      </c>
    </row>
    <row r="98" spans="1:10" ht="15.75" hidden="1" thickBot="1" x14ac:dyDescent="0.3">
      <c r="A98" s="222"/>
      <c r="B98" s="225"/>
      <c r="C98" s="32"/>
      <c r="D98" s="32"/>
      <c r="E98" s="33"/>
      <c r="F98" s="43" t="s">
        <v>572</v>
      </c>
      <c r="G98" s="31" t="str">
        <f t="shared" si="1"/>
        <v/>
      </c>
      <c r="H98" s="35"/>
      <c r="I98" s="31"/>
      <c r="J98" s="156">
        <v>0</v>
      </c>
    </row>
    <row r="99" spans="1:10" ht="15.75" hidden="1" thickBot="1" x14ac:dyDescent="0.3">
      <c r="A99" s="222"/>
      <c r="B99" s="225"/>
      <c r="C99" s="36" t="s">
        <v>22</v>
      </c>
      <c r="D99" s="36" t="s">
        <v>12</v>
      </c>
      <c r="E99" s="37">
        <v>0.01</v>
      </c>
      <c r="F99" s="31">
        <v>22.087499999999999</v>
      </c>
      <c r="G99" s="34">
        <f t="shared" si="1"/>
        <v>0.22087499999999999</v>
      </c>
      <c r="H99" s="39">
        <f>SUM(G99:G100)</f>
        <v>1.8520250000000003</v>
      </c>
      <c r="I99" s="40"/>
      <c r="J99" s="156">
        <v>0</v>
      </c>
    </row>
    <row r="100" spans="1:10" ht="15.75" hidden="1" thickBot="1" x14ac:dyDescent="0.3">
      <c r="A100" s="222"/>
      <c r="B100" s="225"/>
      <c r="C100" s="36" t="s">
        <v>23</v>
      </c>
      <c r="D100" s="36" t="s">
        <v>12</v>
      </c>
      <c r="E100" s="37">
        <v>0.1</v>
      </c>
      <c r="F100" s="31">
        <v>16.311500000000002</v>
      </c>
      <c r="G100" s="34">
        <f t="shared" si="1"/>
        <v>1.6311500000000003</v>
      </c>
      <c r="H100" s="35"/>
      <c r="I100" s="31"/>
      <c r="J100" s="156">
        <v>0</v>
      </c>
    </row>
    <row r="101" spans="1:10" ht="15.75" hidden="1" thickBot="1" x14ac:dyDescent="0.3">
      <c r="A101" s="223"/>
      <c r="B101" s="226"/>
      <c r="C101" s="36"/>
      <c r="D101" s="36"/>
      <c r="E101" s="37"/>
      <c r="F101" s="31" t="s">
        <v>572</v>
      </c>
      <c r="G101" s="31" t="str">
        <f t="shared" si="1"/>
        <v/>
      </c>
      <c r="H101" s="35"/>
      <c r="I101" s="31"/>
      <c r="J101" s="156">
        <v>0</v>
      </c>
    </row>
    <row r="102" spans="1:10" ht="15.75" hidden="1" thickBot="1" x14ac:dyDescent="0.3">
      <c r="A102" s="221" t="s">
        <v>49</v>
      </c>
      <c r="B102" s="224" t="str">
        <f>INDEX(Orçamentária!A:B,MATCH(Composições!A102,Orçamentária!A:A,0),2)</f>
        <v>Remoção de cortinas</v>
      </c>
      <c r="C102" s="41"/>
      <c r="D102" s="26" t="str">
        <f>TRIM(INDEX(Orçamentária!C:C,MATCH(Composições!A102,Orçamentária!A:A,0),1))</f>
        <v>m</v>
      </c>
      <c r="E102" s="27"/>
      <c r="F102" s="42" t="s">
        <v>572</v>
      </c>
      <c r="G102" s="28" t="str">
        <f t="shared" si="1"/>
        <v/>
      </c>
      <c r="H102" s="29"/>
      <c r="I102" s="30"/>
      <c r="J102" s="156">
        <v>0</v>
      </c>
    </row>
    <row r="103" spans="1:10" ht="15.75" hidden="1" thickBot="1" x14ac:dyDescent="0.3">
      <c r="A103" s="222"/>
      <c r="B103" s="225"/>
      <c r="C103" s="32"/>
      <c r="D103" s="32"/>
      <c r="E103" s="33"/>
      <c r="F103" s="43" t="s">
        <v>572</v>
      </c>
      <c r="G103" s="31" t="str">
        <f t="shared" si="1"/>
        <v/>
      </c>
      <c r="H103" s="35"/>
      <c r="I103" s="31"/>
      <c r="J103" s="156">
        <v>0</v>
      </c>
    </row>
    <row r="104" spans="1:10" ht="15.75" hidden="1" thickBot="1" x14ac:dyDescent="0.3">
      <c r="A104" s="222"/>
      <c r="B104" s="225"/>
      <c r="C104" s="36" t="s">
        <v>50</v>
      </c>
      <c r="D104" s="36" t="s">
        <v>12</v>
      </c>
      <c r="E104" s="37">
        <f>ROUND(1/6,4)</f>
        <v>0.16669999999999999</v>
      </c>
      <c r="F104" s="31">
        <v>19.3705</v>
      </c>
      <c r="G104" s="34">
        <f t="shared" si="1"/>
        <v>3.2290623499999995</v>
      </c>
      <c r="H104" s="39">
        <f>SUM(G104:G104)</f>
        <v>3.2290623499999995</v>
      </c>
      <c r="I104" s="40"/>
      <c r="J104" s="156">
        <v>0</v>
      </c>
    </row>
    <row r="105" spans="1:10" ht="15.75" hidden="1" thickBot="1" x14ac:dyDescent="0.3">
      <c r="A105" s="223"/>
      <c r="B105" s="226"/>
      <c r="C105" s="36"/>
      <c r="D105" s="36"/>
      <c r="E105" s="37"/>
      <c r="F105" s="31" t="s">
        <v>572</v>
      </c>
      <c r="G105" s="31" t="str">
        <f t="shared" si="1"/>
        <v/>
      </c>
      <c r="H105" s="35"/>
      <c r="I105" s="31"/>
      <c r="J105" s="156">
        <v>0</v>
      </c>
    </row>
    <row r="106" spans="1:10" ht="15.75" hidden="1" thickBot="1" x14ac:dyDescent="0.3">
      <c r="A106" s="221" t="s">
        <v>51</v>
      </c>
      <c r="B106" s="224" t="str">
        <f>INDEX(Orçamentária!A:B,MATCH(Composições!A106,Orçamentária!A:A,0),2)</f>
        <v>Remoção de difusores, grelhas e acessórios de climatização</v>
      </c>
      <c r="C106" s="41"/>
      <c r="D106" s="26" t="str">
        <f>TRIM(INDEX(Orçamentária!C:C,MATCH(Composições!A106,Orçamentária!A:A,0),1))</f>
        <v>un</v>
      </c>
      <c r="E106" s="27"/>
      <c r="F106" s="42" t="s">
        <v>572</v>
      </c>
      <c r="G106" s="28" t="str">
        <f t="shared" si="1"/>
        <v/>
      </c>
      <c r="H106" s="29"/>
      <c r="I106" s="30"/>
      <c r="J106" s="156">
        <v>0</v>
      </c>
    </row>
    <row r="107" spans="1:10" ht="15.75" hidden="1" thickBot="1" x14ac:dyDescent="0.3">
      <c r="A107" s="222"/>
      <c r="B107" s="225"/>
      <c r="C107" s="32"/>
      <c r="D107" s="32"/>
      <c r="E107" s="33"/>
      <c r="F107" s="43" t="s">
        <v>572</v>
      </c>
      <c r="G107" s="31" t="str">
        <f t="shared" si="1"/>
        <v/>
      </c>
      <c r="H107" s="35"/>
      <c r="I107" s="31"/>
      <c r="J107" s="156">
        <v>0</v>
      </c>
    </row>
    <row r="108" spans="1:10" ht="15.75" hidden="1" thickBot="1" x14ac:dyDescent="0.3">
      <c r="A108" s="222"/>
      <c r="B108" s="225"/>
      <c r="C108" s="36" t="s">
        <v>52</v>
      </c>
      <c r="D108" s="47" t="s">
        <v>12</v>
      </c>
      <c r="E108" s="37">
        <v>0.6</v>
      </c>
      <c r="F108" s="31">
        <v>17.470500000000001</v>
      </c>
      <c r="G108" s="31">
        <f t="shared" si="1"/>
        <v>10.4823</v>
      </c>
      <c r="H108" s="39">
        <f>SUM(G108:G109)</f>
        <v>20.269200000000001</v>
      </c>
      <c r="I108" s="40"/>
      <c r="J108" s="156">
        <v>0</v>
      </c>
    </row>
    <row r="109" spans="1:10" ht="15.75" hidden="1" thickBot="1" x14ac:dyDescent="0.3">
      <c r="A109" s="222"/>
      <c r="B109" s="225"/>
      <c r="C109" s="36" t="s">
        <v>23</v>
      </c>
      <c r="D109" s="47" t="s">
        <v>12</v>
      </c>
      <c r="E109" s="37">
        <v>0.6</v>
      </c>
      <c r="F109" s="31">
        <v>16.311500000000002</v>
      </c>
      <c r="G109" s="31">
        <f t="shared" si="1"/>
        <v>9.786900000000001</v>
      </c>
      <c r="H109" s="35"/>
      <c r="I109" s="31"/>
      <c r="J109" s="156">
        <v>0</v>
      </c>
    </row>
    <row r="110" spans="1:10" ht="15.75" hidden="1" thickBot="1" x14ac:dyDescent="0.3">
      <c r="A110" s="223"/>
      <c r="B110" s="226"/>
      <c r="C110" s="36"/>
      <c r="D110" s="36"/>
      <c r="E110" s="37"/>
      <c r="F110" s="31" t="s">
        <v>572</v>
      </c>
      <c r="G110" s="31" t="str">
        <f t="shared" si="1"/>
        <v/>
      </c>
      <c r="H110" s="35"/>
      <c r="I110" s="31"/>
      <c r="J110" s="156">
        <v>0</v>
      </c>
    </row>
    <row r="111" spans="1:10" ht="15.75" hidden="1" thickBot="1" x14ac:dyDescent="0.3">
      <c r="A111" s="221" t="s">
        <v>53</v>
      </c>
      <c r="B111" s="224" t="str">
        <f>INDEX(Orçamentária!A:B,MATCH(Composições!A111,Orçamentária!A:A,0),2)</f>
        <v>Remoção de divisória de mármore ou granito</v>
      </c>
      <c r="C111" s="41"/>
      <c r="D111" s="26" t="str">
        <f>TRIM(INDEX(Orçamentária!C:C,MATCH(Composições!A111,Orçamentária!A:A,0),1))</f>
        <v>m2</v>
      </c>
      <c r="E111" s="27"/>
      <c r="F111" s="42" t="s">
        <v>572</v>
      </c>
      <c r="G111" s="28" t="str">
        <f t="shared" si="1"/>
        <v/>
      </c>
      <c r="H111" s="29"/>
      <c r="I111" s="30"/>
      <c r="J111" s="156">
        <v>0</v>
      </c>
    </row>
    <row r="112" spans="1:10" ht="15.75" hidden="1" thickBot="1" x14ac:dyDescent="0.3">
      <c r="A112" s="222"/>
      <c r="B112" s="225"/>
      <c r="C112" s="32"/>
      <c r="D112" s="32"/>
      <c r="E112" s="33"/>
      <c r="F112" s="43" t="s">
        <v>572</v>
      </c>
      <c r="G112" s="31" t="str">
        <f t="shared" si="1"/>
        <v/>
      </c>
      <c r="H112" s="35"/>
      <c r="I112" s="31"/>
      <c r="J112" s="156">
        <v>0</v>
      </c>
    </row>
    <row r="113" spans="1:10" ht="15.75" hidden="1" thickBot="1" x14ac:dyDescent="0.3">
      <c r="A113" s="222"/>
      <c r="B113" s="225"/>
      <c r="C113" s="36" t="s">
        <v>54</v>
      </c>
      <c r="D113" s="36" t="s">
        <v>12</v>
      </c>
      <c r="E113" s="37">
        <v>0.6</v>
      </c>
      <c r="F113" s="31">
        <v>18.420500000000001</v>
      </c>
      <c r="G113" s="34">
        <f t="shared" si="1"/>
        <v>11.052300000000001</v>
      </c>
      <c r="H113" s="39">
        <f>SUM(G113:G114)</f>
        <v>30.626100000000001</v>
      </c>
      <c r="I113" s="40"/>
      <c r="J113" s="156">
        <v>0</v>
      </c>
    </row>
    <row r="114" spans="1:10" ht="15.75" hidden="1" thickBot="1" x14ac:dyDescent="0.3">
      <c r="A114" s="222"/>
      <c r="B114" s="225"/>
      <c r="C114" s="36" t="s">
        <v>23</v>
      </c>
      <c r="D114" s="36" t="s">
        <v>12</v>
      </c>
      <c r="E114" s="37">
        <v>1.2</v>
      </c>
      <c r="F114" s="31">
        <v>16.311500000000002</v>
      </c>
      <c r="G114" s="34">
        <f t="shared" si="1"/>
        <v>19.573800000000002</v>
      </c>
      <c r="H114" s="35"/>
      <c r="I114" s="31"/>
      <c r="J114" s="156">
        <v>0</v>
      </c>
    </row>
    <row r="115" spans="1:10" ht="15.75" hidden="1" thickBot="1" x14ac:dyDescent="0.3">
      <c r="A115" s="223"/>
      <c r="B115" s="226"/>
      <c r="C115" s="36"/>
      <c r="D115" s="36"/>
      <c r="E115" s="37"/>
      <c r="F115" s="31" t="s">
        <v>572</v>
      </c>
      <c r="G115" s="31" t="str">
        <f t="shared" si="1"/>
        <v/>
      </c>
      <c r="H115" s="35"/>
      <c r="I115" s="31"/>
      <c r="J115" s="156">
        <v>0</v>
      </c>
    </row>
    <row r="116" spans="1:10" ht="15.75" hidden="1" thickBot="1" x14ac:dyDescent="0.3">
      <c r="A116" s="221" t="s">
        <v>55</v>
      </c>
      <c r="B116" s="224" t="str">
        <f>INDEX(Orçamentária!A:B,MATCH(Composições!A116,Orçamentária!A:A,0),2)</f>
        <v>Remoção de divisórias de MDF e gesso acartonado</v>
      </c>
      <c r="C116" s="41"/>
      <c r="D116" s="26" t="str">
        <f>TRIM(INDEX(Orçamentária!C:C,MATCH(Composições!A116,Orçamentária!A:A,0),1))</f>
        <v>m2</v>
      </c>
      <c r="E116" s="27"/>
      <c r="F116" s="42" t="s">
        <v>572</v>
      </c>
      <c r="G116" s="28" t="str">
        <f t="shared" si="1"/>
        <v/>
      </c>
      <c r="H116" s="29"/>
      <c r="I116" s="30"/>
      <c r="J116" s="156">
        <v>0</v>
      </c>
    </row>
    <row r="117" spans="1:10" ht="15.75" hidden="1" thickBot="1" x14ac:dyDescent="0.3">
      <c r="A117" s="222"/>
      <c r="B117" s="225"/>
      <c r="C117" s="32"/>
      <c r="D117" s="32"/>
      <c r="E117" s="33"/>
      <c r="F117" s="43" t="s">
        <v>572</v>
      </c>
      <c r="G117" s="31" t="str">
        <f t="shared" si="1"/>
        <v/>
      </c>
      <c r="H117" s="35"/>
      <c r="I117" s="31"/>
      <c r="J117" s="156">
        <v>0</v>
      </c>
    </row>
    <row r="118" spans="1:10" ht="15.75" hidden="1" thickBot="1" x14ac:dyDescent="0.3">
      <c r="A118" s="222"/>
      <c r="B118" s="225"/>
      <c r="C118" s="36" t="s">
        <v>44</v>
      </c>
      <c r="D118" s="36" t="s">
        <v>12</v>
      </c>
      <c r="E118" s="37">
        <v>1.2</v>
      </c>
      <c r="F118" s="31">
        <v>21.916499999999999</v>
      </c>
      <c r="G118" s="34">
        <f t="shared" si="1"/>
        <v>26.299799999999998</v>
      </c>
      <c r="H118" s="39">
        <f>SUM(G118:G118)</f>
        <v>26.299799999999998</v>
      </c>
      <c r="I118" s="40"/>
      <c r="J118" s="156">
        <v>0</v>
      </c>
    </row>
    <row r="119" spans="1:10" ht="15.75" hidden="1" thickBot="1" x14ac:dyDescent="0.3">
      <c r="A119" s="223"/>
      <c r="B119" s="226"/>
      <c r="C119" s="36"/>
      <c r="D119" s="36"/>
      <c r="E119" s="37"/>
      <c r="F119" s="31" t="s">
        <v>572</v>
      </c>
      <c r="G119" s="31" t="str">
        <f t="shared" si="1"/>
        <v/>
      </c>
      <c r="H119" s="35"/>
      <c r="I119" s="31"/>
      <c r="J119" s="156">
        <v>0</v>
      </c>
    </row>
    <row r="120" spans="1:10" ht="15.75" hidden="1" thickBot="1" x14ac:dyDescent="0.3">
      <c r="A120" s="221" t="s">
        <v>56</v>
      </c>
      <c r="B120" s="224" t="str">
        <f>INDEX(Orçamentária!A:B,MATCH(Composições!A120,Orçamentária!A:A,0),2)</f>
        <v>Remoção de dutos/tubulações</v>
      </c>
      <c r="C120" s="41"/>
      <c r="D120" s="26" t="str">
        <f>TRIM(INDEX(Orçamentária!C:C,MATCH(Composições!A120,Orçamentária!A:A,0),1))</f>
        <v>m</v>
      </c>
      <c r="E120" s="27"/>
      <c r="F120" s="42" t="s">
        <v>572</v>
      </c>
      <c r="G120" s="28" t="str">
        <f t="shared" si="1"/>
        <v/>
      </c>
      <c r="H120" s="29"/>
      <c r="I120" s="30"/>
      <c r="J120" s="156">
        <v>0</v>
      </c>
    </row>
    <row r="121" spans="1:10" ht="15.75" hidden="1" thickBot="1" x14ac:dyDescent="0.3">
      <c r="A121" s="222"/>
      <c r="B121" s="225"/>
      <c r="C121" s="32"/>
      <c r="D121" s="32"/>
      <c r="E121" s="33"/>
      <c r="F121" s="43" t="s">
        <v>572</v>
      </c>
      <c r="G121" s="31" t="str">
        <f t="shared" si="1"/>
        <v/>
      </c>
      <c r="H121" s="35"/>
      <c r="I121" s="31"/>
      <c r="J121" s="156">
        <v>0</v>
      </c>
    </row>
    <row r="122" spans="1:10" ht="15.75" hidden="1" thickBot="1" x14ac:dyDescent="0.3">
      <c r="A122" s="222"/>
      <c r="B122" s="225"/>
      <c r="C122" s="36" t="s">
        <v>39</v>
      </c>
      <c r="D122" s="47" t="s">
        <v>12</v>
      </c>
      <c r="E122" s="37">
        <v>0.17499999999999999</v>
      </c>
      <c r="F122" s="31">
        <v>21.622</v>
      </c>
      <c r="G122" s="34">
        <f t="shared" si="1"/>
        <v>3.7838499999999997</v>
      </c>
      <c r="H122" s="39">
        <f>SUM(G122:G123)</f>
        <v>8.6773000000000007</v>
      </c>
      <c r="I122" s="40"/>
      <c r="J122" s="156">
        <v>0</v>
      </c>
    </row>
    <row r="123" spans="1:10" ht="15.75" hidden="1" thickBot="1" x14ac:dyDescent="0.3">
      <c r="A123" s="222"/>
      <c r="B123" s="225"/>
      <c r="C123" s="36" t="s">
        <v>23</v>
      </c>
      <c r="D123" s="47" t="s">
        <v>12</v>
      </c>
      <c r="E123" s="37">
        <v>0.3</v>
      </c>
      <c r="F123" s="31">
        <v>16.311500000000002</v>
      </c>
      <c r="G123" s="34">
        <f t="shared" si="1"/>
        <v>4.8934500000000005</v>
      </c>
      <c r="H123" s="35"/>
      <c r="I123" s="31"/>
      <c r="J123" s="156">
        <v>0</v>
      </c>
    </row>
    <row r="124" spans="1:10" ht="15.75" hidden="1" thickBot="1" x14ac:dyDescent="0.3">
      <c r="A124" s="223"/>
      <c r="B124" s="226"/>
      <c r="C124" s="36"/>
      <c r="D124" s="36"/>
      <c r="E124" s="37"/>
      <c r="F124" s="31" t="s">
        <v>572</v>
      </c>
      <c r="G124" s="31" t="str">
        <f t="shared" si="1"/>
        <v/>
      </c>
      <c r="H124" s="35"/>
      <c r="I124" s="31"/>
      <c r="J124" s="156">
        <v>0</v>
      </c>
    </row>
    <row r="125" spans="1:10" ht="15.75" hidden="1" thickBot="1" x14ac:dyDescent="0.3">
      <c r="A125" s="221" t="s">
        <v>57</v>
      </c>
      <c r="B125" s="224" t="str">
        <f>INDEX(Orçamentária!A:B,MATCH(Composições!A125,Orçamentária!A:A,0),2)</f>
        <v>Remoção de esquadrias metálicas</v>
      </c>
      <c r="C125" s="41"/>
      <c r="D125" s="26" t="str">
        <f>TRIM(INDEX(Orçamentária!C:C,MATCH(Composições!A125,Orçamentária!A:A,0),1))</f>
        <v>m2</v>
      </c>
      <c r="E125" s="27"/>
      <c r="F125" s="42" t="s">
        <v>572</v>
      </c>
      <c r="G125" s="28" t="str">
        <f t="shared" si="1"/>
        <v/>
      </c>
      <c r="H125" s="29"/>
      <c r="I125" s="30"/>
      <c r="J125" s="156">
        <v>0</v>
      </c>
    </row>
    <row r="126" spans="1:10" ht="15.75" hidden="1" thickBot="1" x14ac:dyDescent="0.3">
      <c r="A126" s="222"/>
      <c r="B126" s="225"/>
      <c r="C126" s="32"/>
      <c r="D126" s="32"/>
      <c r="E126" s="33"/>
      <c r="F126" s="43" t="s">
        <v>572</v>
      </c>
      <c r="G126" s="31" t="str">
        <f t="shared" si="1"/>
        <v/>
      </c>
      <c r="H126" s="35"/>
      <c r="I126" s="31"/>
      <c r="J126" s="156">
        <v>0</v>
      </c>
    </row>
    <row r="127" spans="1:10" ht="15.75" hidden="1" thickBot="1" x14ac:dyDescent="0.3">
      <c r="A127" s="222"/>
      <c r="B127" s="225"/>
      <c r="C127" s="36" t="s">
        <v>22</v>
      </c>
      <c r="D127" s="36" t="s">
        <v>12</v>
      </c>
      <c r="E127" s="37">
        <v>0.05</v>
      </c>
      <c r="F127" s="31">
        <v>22.087499999999999</v>
      </c>
      <c r="G127" s="34">
        <f t="shared" si="1"/>
        <v>1.1043749999999999</v>
      </c>
      <c r="H127" s="39">
        <f>SUM(G127:G128)</f>
        <v>9.2601250000000004</v>
      </c>
      <c r="I127" s="40"/>
      <c r="J127" s="156">
        <v>0</v>
      </c>
    </row>
    <row r="128" spans="1:10" ht="15.75" hidden="1" thickBot="1" x14ac:dyDescent="0.3">
      <c r="A128" s="222"/>
      <c r="B128" s="225"/>
      <c r="C128" s="36" t="s">
        <v>23</v>
      </c>
      <c r="D128" s="36" t="s">
        <v>12</v>
      </c>
      <c r="E128" s="37">
        <v>0.5</v>
      </c>
      <c r="F128" s="31">
        <v>16.311500000000002</v>
      </c>
      <c r="G128" s="34">
        <f t="shared" si="1"/>
        <v>8.1557500000000012</v>
      </c>
      <c r="H128" s="45"/>
      <c r="I128" s="46"/>
      <c r="J128" s="156">
        <v>0</v>
      </c>
    </row>
    <row r="129" spans="1:10" ht="15.75" hidden="1" thickBot="1" x14ac:dyDescent="0.3">
      <c r="A129" s="223"/>
      <c r="B129" s="226"/>
      <c r="C129" s="36"/>
      <c r="D129" s="36"/>
      <c r="E129" s="37"/>
      <c r="F129" s="31" t="s">
        <v>572</v>
      </c>
      <c r="G129" s="31" t="str">
        <f t="shared" si="1"/>
        <v/>
      </c>
      <c r="H129" s="35"/>
      <c r="I129" s="31"/>
      <c r="J129" s="156">
        <v>0</v>
      </c>
    </row>
    <row r="130" spans="1:10" ht="15.75" hidden="1" thickBot="1" x14ac:dyDescent="0.3">
      <c r="A130" s="221" t="s">
        <v>58</v>
      </c>
      <c r="B130" s="224" t="str">
        <f>INDEX(Orçamentária!A:B,MATCH(Composições!A130,Orçamentária!A:A,0),2)</f>
        <v>Remoção de exaustor</v>
      </c>
      <c r="C130" s="41"/>
      <c r="D130" s="26" t="str">
        <f>TRIM(INDEX(Orçamentária!C:C,MATCH(Composições!A130,Orçamentária!A:A,0),1))</f>
        <v>un</v>
      </c>
      <c r="E130" s="27"/>
      <c r="F130" s="42" t="s">
        <v>572</v>
      </c>
      <c r="G130" s="28" t="str">
        <f t="shared" si="1"/>
        <v/>
      </c>
      <c r="H130" s="29"/>
      <c r="I130" s="30"/>
      <c r="J130" s="156">
        <v>0</v>
      </c>
    </row>
    <row r="131" spans="1:10" ht="15.75" hidden="1" thickBot="1" x14ac:dyDescent="0.3">
      <c r="A131" s="222"/>
      <c r="B131" s="225"/>
      <c r="C131" s="32"/>
      <c r="D131" s="32"/>
      <c r="E131" s="33"/>
      <c r="F131" s="43" t="s">
        <v>572</v>
      </c>
      <c r="G131" s="31" t="str">
        <f t="shared" si="1"/>
        <v/>
      </c>
      <c r="H131" s="35"/>
      <c r="I131" s="31"/>
      <c r="J131" s="156">
        <v>0</v>
      </c>
    </row>
    <row r="132" spans="1:10" ht="15.75" hidden="1" thickBot="1" x14ac:dyDescent="0.3">
      <c r="A132" s="222"/>
      <c r="B132" s="225"/>
      <c r="C132" s="36" t="s">
        <v>30</v>
      </c>
      <c r="D132" s="36" t="s">
        <v>12</v>
      </c>
      <c r="E132" s="37">
        <v>0.3</v>
      </c>
      <c r="F132" s="31">
        <v>22.268000000000001</v>
      </c>
      <c r="G132" s="31">
        <f t="shared" si="1"/>
        <v>6.6803999999999997</v>
      </c>
      <c r="H132" s="39">
        <f>SUM(G132:G132)</f>
        <v>6.6803999999999997</v>
      </c>
      <c r="I132" s="40"/>
      <c r="J132" s="156">
        <v>0</v>
      </c>
    </row>
    <row r="133" spans="1:10" ht="15.75" hidden="1" thickBot="1" x14ac:dyDescent="0.3">
      <c r="A133" s="223"/>
      <c r="B133" s="226"/>
      <c r="C133" s="36"/>
      <c r="D133" s="36"/>
      <c r="E133" s="37"/>
      <c r="F133" s="31" t="s">
        <v>572</v>
      </c>
      <c r="G133" s="31" t="str">
        <f t="shared" si="1"/>
        <v/>
      </c>
      <c r="H133" s="35"/>
      <c r="I133" s="31"/>
      <c r="J133" s="156">
        <v>0</v>
      </c>
    </row>
    <row r="134" spans="1:10" ht="15.75" hidden="1" thickBot="1" x14ac:dyDescent="0.3">
      <c r="A134" s="221" t="s">
        <v>59</v>
      </c>
      <c r="B134" s="224" t="str">
        <f>INDEX(Orçamentária!A:B,MATCH(Composições!A134,Orçamentária!A:A,0),2)</f>
        <v>Remoção de fechadura/puxador de porta</v>
      </c>
      <c r="C134" s="41"/>
      <c r="D134" s="26" t="str">
        <f>TRIM(INDEX(Orçamentária!C:C,MATCH(Composições!A134,Orçamentária!A:A,0),1))</f>
        <v>un</v>
      </c>
      <c r="E134" s="27"/>
      <c r="F134" s="42" t="s">
        <v>572</v>
      </c>
      <c r="G134" s="28" t="str">
        <f t="shared" ref="G134:G197" si="2">IF(ISNUMBER(F134),E134*F134,"")</f>
        <v/>
      </c>
      <c r="H134" s="29"/>
      <c r="I134" s="30"/>
      <c r="J134" s="156">
        <v>0</v>
      </c>
    </row>
    <row r="135" spans="1:10" ht="15.75" hidden="1" thickBot="1" x14ac:dyDescent="0.3">
      <c r="A135" s="222"/>
      <c r="B135" s="225"/>
      <c r="C135" s="32"/>
      <c r="D135" s="32"/>
      <c r="E135" s="33"/>
      <c r="F135" s="43" t="s">
        <v>572</v>
      </c>
      <c r="G135" s="31" t="str">
        <f t="shared" si="2"/>
        <v/>
      </c>
      <c r="H135" s="35"/>
      <c r="I135" s="31"/>
      <c r="J135" s="156">
        <v>0</v>
      </c>
    </row>
    <row r="136" spans="1:10" ht="15.75" hidden="1" thickBot="1" x14ac:dyDescent="0.3">
      <c r="A136" s="222"/>
      <c r="B136" s="225"/>
      <c r="C136" s="36" t="s">
        <v>44</v>
      </c>
      <c r="D136" s="36" t="s">
        <v>12</v>
      </c>
      <c r="E136" s="37">
        <f>0.25</f>
        <v>0.25</v>
      </c>
      <c r="F136" s="31">
        <v>21.916499999999999</v>
      </c>
      <c r="G136" s="34">
        <f t="shared" si="2"/>
        <v>5.4791249999999998</v>
      </c>
      <c r="H136" s="39">
        <f>SUM(G136:G136)</f>
        <v>5.4791249999999998</v>
      </c>
      <c r="I136" s="40"/>
      <c r="J136" s="156">
        <v>0</v>
      </c>
    </row>
    <row r="137" spans="1:10" ht="15.75" hidden="1" thickBot="1" x14ac:dyDescent="0.3">
      <c r="A137" s="222"/>
      <c r="B137" s="225"/>
      <c r="C137" s="36"/>
      <c r="D137" s="36"/>
      <c r="E137" s="37"/>
      <c r="F137" s="31" t="s">
        <v>572</v>
      </c>
      <c r="G137" s="31" t="str">
        <f t="shared" si="2"/>
        <v/>
      </c>
      <c r="H137" s="35"/>
      <c r="I137" s="31"/>
      <c r="J137" s="156">
        <v>0</v>
      </c>
    </row>
    <row r="138" spans="1:10" ht="15.75" hidden="1" thickBot="1" x14ac:dyDescent="0.3">
      <c r="A138" s="221" t="s">
        <v>60</v>
      </c>
      <c r="B138" s="224" t="str">
        <f>INDEX(Orçamentária!A:B,MATCH(Composições!A138,Orçamentária!A:A,0),2)</f>
        <v>Remoção de folha de porta e dobradiças</v>
      </c>
      <c r="C138" s="41"/>
      <c r="D138" s="26" t="str">
        <f>TRIM(INDEX(Orçamentária!C:C,MATCH(Composições!A138,Orçamentária!A:A,0),1))</f>
        <v>un</v>
      </c>
      <c r="E138" s="27"/>
      <c r="F138" s="42" t="s">
        <v>572</v>
      </c>
      <c r="G138" s="28" t="str">
        <f t="shared" si="2"/>
        <v/>
      </c>
      <c r="H138" s="29"/>
      <c r="I138" s="30"/>
      <c r="J138" s="156">
        <v>0</v>
      </c>
    </row>
    <row r="139" spans="1:10" ht="15.75" hidden="1" thickBot="1" x14ac:dyDescent="0.3">
      <c r="A139" s="222"/>
      <c r="B139" s="225"/>
      <c r="C139" s="32"/>
      <c r="D139" s="32"/>
      <c r="E139" s="33"/>
      <c r="F139" s="43" t="s">
        <v>572</v>
      </c>
      <c r="G139" s="31" t="str">
        <f t="shared" si="2"/>
        <v/>
      </c>
      <c r="H139" s="35"/>
      <c r="I139" s="31"/>
      <c r="J139" s="156">
        <v>0</v>
      </c>
    </row>
    <row r="140" spans="1:10" ht="15.75" hidden="1" thickBot="1" x14ac:dyDescent="0.3">
      <c r="A140" s="222"/>
      <c r="B140" s="225"/>
      <c r="C140" s="36" t="s">
        <v>22</v>
      </c>
      <c r="D140" s="36" t="s">
        <v>12</v>
      </c>
      <c r="E140" s="37">
        <v>0.13150000000000001</v>
      </c>
      <c r="F140" s="31">
        <v>22.087499999999999</v>
      </c>
      <c r="G140" s="34">
        <f t="shared" si="2"/>
        <v>2.9045062499999998</v>
      </c>
      <c r="H140" s="39">
        <f>SUM(G140:G141)</f>
        <v>7.1161355500000001</v>
      </c>
      <c r="I140" s="40"/>
      <c r="J140" s="156">
        <v>0</v>
      </c>
    </row>
    <row r="141" spans="1:10" ht="15.75" hidden="1" thickBot="1" x14ac:dyDescent="0.3">
      <c r="A141" s="222"/>
      <c r="B141" s="225"/>
      <c r="C141" s="36" t="s">
        <v>23</v>
      </c>
      <c r="D141" s="47" t="s">
        <v>12</v>
      </c>
      <c r="E141" s="37">
        <v>0.25819999999999999</v>
      </c>
      <c r="F141" s="31">
        <v>16.311500000000002</v>
      </c>
      <c r="G141" s="34">
        <f t="shared" si="2"/>
        <v>4.2116293000000002</v>
      </c>
      <c r="H141" s="45"/>
      <c r="I141" s="46"/>
      <c r="J141" s="156">
        <v>0</v>
      </c>
    </row>
    <row r="142" spans="1:10" ht="15.75" hidden="1" thickBot="1" x14ac:dyDescent="0.3">
      <c r="A142" s="223"/>
      <c r="B142" s="226"/>
      <c r="C142" s="36"/>
      <c r="D142" s="36"/>
      <c r="E142" s="37"/>
      <c r="F142" s="31" t="s">
        <v>572</v>
      </c>
      <c r="G142" s="31" t="str">
        <f t="shared" si="2"/>
        <v/>
      </c>
      <c r="H142" s="35"/>
      <c r="I142" s="31"/>
      <c r="J142" s="156">
        <v>0</v>
      </c>
    </row>
    <row r="143" spans="1:10" ht="15.75" hidden="1" thickBot="1" x14ac:dyDescent="0.3">
      <c r="A143" s="221" t="s">
        <v>61</v>
      </c>
      <c r="B143" s="224" t="str">
        <f>INDEX(Orçamentária!A:B,MATCH(Composições!A143,Orçamentária!A:A,0),2)</f>
        <v>Remoção de laminado melamínico (LDAP), em PVC ou vinílico</v>
      </c>
      <c r="C143" s="41"/>
      <c r="D143" s="26" t="str">
        <f>TRIM(INDEX(Orçamentária!C:C,MATCH(Composições!A143,Orçamentária!A:A,0),1))</f>
        <v>m2</v>
      </c>
      <c r="E143" s="27"/>
      <c r="F143" s="42" t="s">
        <v>572</v>
      </c>
      <c r="G143" s="28" t="str">
        <f t="shared" si="2"/>
        <v/>
      </c>
      <c r="H143" s="29"/>
      <c r="I143" s="30"/>
      <c r="J143" s="156">
        <v>0</v>
      </c>
    </row>
    <row r="144" spans="1:10" ht="15.75" hidden="1" thickBot="1" x14ac:dyDescent="0.3">
      <c r="A144" s="222"/>
      <c r="B144" s="225"/>
      <c r="C144" s="32"/>
      <c r="D144" s="32"/>
      <c r="E144" s="33"/>
      <c r="F144" s="43" t="s">
        <v>572</v>
      </c>
      <c r="G144" s="31" t="str">
        <f t="shared" si="2"/>
        <v/>
      </c>
      <c r="H144" s="35"/>
      <c r="I144" s="31"/>
      <c r="J144" s="156">
        <v>0</v>
      </c>
    </row>
    <row r="145" spans="1:10" ht="15.75" hidden="1" thickBot="1" x14ac:dyDescent="0.3">
      <c r="A145" s="222"/>
      <c r="B145" s="225"/>
      <c r="C145" s="36" t="s">
        <v>22</v>
      </c>
      <c r="D145" s="36" t="s">
        <v>12</v>
      </c>
      <c r="E145" s="37">
        <v>0.09</v>
      </c>
      <c r="F145" s="31">
        <v>22.087499999999999</v>
      </c>
      <c r="G145" s="34">
        <f t="shared" si="2"/>
        <v>1.9878749999999998</v>
      </c>
      <c r="H145" s="39">
        <f>SUM(G145:G146)</f>
        <v>16.668225000000003</v>
      </c>
      <c r="I145" s="40"/>
      <c r="J145" s="156">
        <v>0</v>
      </c>
    </row>
    <row r="146" spans="1:10" ht="15.75" hidden="1" thickBot="1" x14ac:dyDescent="0.3">
      <c r="A146" s="222"/>
      <c r="B146" s="225"/>
      <c r="C146" s="36" t="s">
        <v>23</v>
      </c>
      <c r="D146" s="36" t="s">
        <v>12</v>
      </c>
      <c r="E146" s="37">
        <v>0.9</v>
      </c>
      <c r="F146" s="31">
        <v>16.311500000000002</v>
      </c>
      <c r="G146" s="34">
        <f t="shared" si="2"/>
        <v>14.680350000000002</v>
      </c>
      <c r="H146" s="35"/>
      <c r="I146" s="31"/>
      <c r="J146" s="156">
        <v>0</v>
      </c>
    </row>
    <row r="147" spans="1:10" ht="15.75" hidden="1" thickBot="1" x14ac:dyDescent="0.3">
      <c r="A147" s="223"/>
      <c r="B147" s="226"/>
      <c r="C147" s="36"/>
      <c r="D147" s="36"/>
      <c r="E147" s="37"/>
      <c r="F147" s="31" t="s">
        <v>572</v>
      </c>
      <c r="G147" s="31" t="str">
        <f t="shared" si="2"/>
        <v/>
      </c>
      <c r="H147" s="35"/>
      <c r="I147" s="31"/>
      <c r="J147" s="156">
        <v>0</v>
      </c>
    </row>
    <row r="148" spans="1:10" ht="15.75" hidden="1" thickBot="1" x14ac:dyDescent="0.3">
      <c r="A148" s="221" t="s">
        <v>62</v>
      </c>
      <c r="B148" s="224" t="str">
        <f>INDEX(Orçamentária!A:B,MATCH(Composições!A148,Orçamentária!A:A,0),2)</f>
        <v>Remoção de louças</v>
      </c>
      <c r="C148" s="41"/>
      <c r="D148" s="26" t="str">
        <f>TRIM(INDEX(Orçamentária!C:C,MATCH(Composições!A148,Orçamentária!A:A,0),1))</f>
        <v>un</v>
      </c>
      <c r="E148" s="27"/>
      <c r="F148" s="42" t="s">
        <v>572</v>
      </c>
      <c r="G148" s="28" t="str">
        <f t="shared" si="2"/>
        <v/>
      </c>
      <c r="H148" s="29"/>
      <c r="I148" s="30"/>
      <c r="J148" s="156">
        <v>0</v>
      </c>
    </row>
    <row r="149" spans="1:10" ht="15.75" hidden="1" thickBot="1" x14ac:dyDescent="0.3">
      <c r="A149" s="222"/>
      <c r="B149" s="225"/>
      <c r="C149" s="32"/>
      <c r="D149" s="32"/>
      <c r="E149" s="33"/>
      <c r="F149" s="43" t="s">
        <v>572</v>
      </c>
      <c r="G149" s="31" t="str">
        <f t="shared" si="2"/>
        <v/>
      </c>
      <c r="H149" s="35"/>
      <c r="I149" s="31"/>
      <c r="J149" s="156">
        <v>0</v>
      </c>
    </row>
    <row r="150" spans="1:10" ht="15.75" hidden="1" thickBot="1" x14ac:dyDescent="0.3">
      <c r="A150" s="222"/>
      <c r="B150" s="225"/>
      <c r="C150" s="36" t="s">
        <v>39</v>
      </c>
      <c r="D150" s="47" t="s">
        <v>12</v>
      </c>
      <c r="E150" s="37">
        <v>0.17549999999999999</v>
      </c>
      <c r="F150" s="31">
        <v>21.622</v>
      </c>
      <c r="G150" s="34">
        <f t="shared" si="2"/>
        <v>3.7946609999999996</v>
      </c>
      <c r="H150" s="39">
        <f>SUM(G150:G151)</f>
        <v>9.4188662000000001</v>
      </c>
      <c r="I150" s="40"/>
      <c r="J150" s="156">
        <v>0</v>
      </c>
    </row>
    <row r="151" spans="1:10" ht="15.75" hidden="1" thickBot="1" x14ac:dyDescent="0.3">
      <c r="A151" s="222"/>
      <c r="B151" s="225"/>
      <c r="C151" s="36" t="s">
        <v>23</v>
      </c>
      <c r="D151" s="36" t="s">
        <v>12</v>
      </c>
      <c r="E151" s="37">
        <v>0.3448</v>
      </c>
      <c r="F151" s="31">
        <v>16.311500000000002</v>
      </c>
      <c r="G151" s="34">
        <f t="shared" si="2"/>
        <v>5.6242052000000005</v>
      </c>
      <c r="H151" s="44"/>
      <c r="I151" s="40"/>
      <c r="J151" s="156">
        <v>0</v>
      </c>
    </row>
    <row r="152" spans="1:10" ht="15.75" hidden="1" thickBot="1" x14ac:dyDescent="0.3">
      <c r="A152" s="223"/>
      <c r="B152" s="226"/>
      <c r="C152" s="36"/>
      <c r="D152" s="36"/>
      <c r="E152" s="37"/>
      <c r="F152" s="31" t="s">
        <v>572</v>
      </c>
      <c r="G152" s="31" t="str">
        <f t="shared" si="2"/>
        <v/>
      </c>
      <c r="H152" s="35"/>
      <c r="I152" s="31"/>
      <c r="J152" s="156">
        <v>0</v>
      </c>
    </row>
    <row r="153" spans="1:10" ht="15.75" hidden="1" thickBot="1" x14ac:dyDescent="0.3">
      <c r="A153" s="221" t="s">
        <v>63</v>
      </c>
      <c r="B153" s="224" t="str">
        <f>INDEX(Orçamentária!A:B,MATCH(Composições!A153,Orçamentária!A:A,0),2)</f>
        <v>Remoção de luminária</v>
      </c>
      <c r="C153" s="41"/>
      <c r="D153" s="26" t="str">
        <f>TRIM(INDEX(Orçamentária!C:C,MATCH(Composições!A153,Orçamentária!A:A,0),1))</f>
        <v>un</v>
      </c>
      <c r="E153" s="27"/>
      <c r="F153" s="42" t="s">
        <v>572</v>
      </c>
      <c r="G153" s="28" t="str">
        <f t="shared" si="2"/>
        <v/>
      </c>
      <c r="H153" s="29"/>
      <c r="I153" s="30"/>
      <c r="J153" s="156">
        <v>0</v>
      </c>
    </row>
    <row r="154" spans="1:10" ht="15.75" hidden="1" thickBot="1" x14ac:dyDescent="0.3">
      <c r="A154" s="227"/>
      <c r="B154" s="225"/>
      <c r="C154" s="32"/>
      <c r="D154" s="32"/>
      <c r="E154" s="33"/>
      <c r="F154" s="43" t="s">
        <v>572</v>
      </c>
      <c r="G154" s="31" t="str">
        <f t="shared" si="2"/>
        <v/>
      </c>
      <c r="H154" s="35"/>
      <c r="I154" s="31"/>
      <c r="J154" s="156">
        <v>0</v>
      </c>
    </row>
    <row r="155" spans="1:10" ht="15.75" hidden="1" thickBot="1" x14ac:dyDescent="0.3">
      <c r="A155" s="227"/>
      <c r="B155" s="225"/>
      <c r="C155" s="36" t="s">
        <v>30</v>
      </c>
      <c r="D155" s="47" t="s">
        <v>12</v>
      </c>
      <c r="E155" s="37">
        <f>0.0183*5</f>
        <v>9.1499999999999998E-2</v>
      </c>
      <c r="F155" s="31">
        <v>22.268000000000001</v>
      </c>
      <c r="G155" s="34">
        <f t="shared" si="2"/>
        <v>2.0375220000000001</v>
      </c>
      <c r="H155" s="39">
        <f>SUM(G155:G156)</f>
        <v>4.9654362499999998</v>
      </c>
      <c r="I155" s="40"/>
      <c r="J155" s="156">
        <v>0</v>
      </c>
    </row>
    <row r="156" spans="1:10" ht="15.75" hidden="1" thickBot="1" x14ac:dyDescent="0.3">
      <c r="A156" s="227"/>
      <c r="B156" s="225"/>
      <c r="C156" s="36" t="s">
        <v>23</v>
      </c>
      <c r="D156" s="47" t="s">
        <v>12</v>
      </c>
      <c r="E156" s="37">
        <f>0.0359*5</f>
        <v>0.17949999999999999</v>
      </c>
      <c r="F156" s="31">
        <v>16.311500000000002</v>
      </c>
      <c r="G156" s="34">
        <f t="shared" si="2"/>
        <v>2.9279142500000002</v>
      </c>
      <c r="H156" s="45"/>
      <c r="I156" s="46"/>
      <c r="J156" s="156">
        <v>0</v>
      </c>
    </row>
    <row r="157" spans="1:10" ht="15.75" hidden="1" thickBot="1" x14ac:dyDescent="0.3">
      <c r="A157" s="227"/>
      <c r="B157" s="225"/>
      <c r="C157" s="36"/>
      <c r="D157" s="36"/>
      <c r="E157" s="37"/>
      <c r="F157" s="31" t="s">
        <v>572</v>
      </c>
      <c r="G157" s="31" t="str">
        <f t="shared" si="2"/>
        <v/>
      </c>
      <c r="H157" s="35"/>
      <c r="I157" s="31"/>
      <c r="J157" s="156">
        <v>0</v>
      </c>
    </row>
    <row r="158" spans="1:10" ht="15.75" hidden="1" thickBot="1" x14ac:dyDescent="0.3">
      <c r="A158" s="227"/>
      <c r="B158" s="225"/>
      <c r="C158" s="48" t="s">
        <v>64</v>
      </c>
      <c r="D158" s="36"/>
      <c r="E158" s="37"/>
      <c r="F158" s="31" t="s">
        <v>572</v>
      </c>
      <c r="G158" s="31" t="str">
        <f t="shared" si="2"/>
        <v/>
      </c>
      <c r="H158" s="35"/>
      <c r="I158" s="31"/>
      <c r="J158" s="156">
        <v>0</v>
      </c>
    </row>
    <row r="159" spans="1:10" ht="15.75" hidden="1" thickBot="1" x14ac:dyDescent="0.3">
      <c r="A159" s="228"/>
      <c r="B159" s="226"/>
      <c r="C159" s="36"/>
      <c r="D159" s="36"/>
      <c r="E159" s="37"/>
      <c r="F159" s="31" t="s">
        <v>572</v>
      </c>
      <c r="G159" s="31" t="str">
        <f t="shared" si="2"/>
        <v/>
      </c>
      <c r="H159" s="35"/>
      <c r="I159" s="31"/>
      <c r="J159" s="156">
        <v>0</v>
      </c>
    </row>
    <row r="160" spans="1:10" ht="15.75" hidden="1" thickBot="1" x14ac:dyDescent="0.3">
      <c r="A160" s="221" t="s">
        <v>65</v>
      </c>
      <c r="B160" s="224" t="str">
        <f>INDEX(Orçamentária!A:B,MATCH(Composições!A160,Orçamentária!A:A,0),2)</f>
        <v>Remoção de metais e acessórios</v>
      </c>
      <c r="C160" s="41"/>
      <c r="D160" s="26" t="str">
        <f>TRIM(INDEX(Orçamentária!C:C,MATCH(Composições!A160,Orçamentária!A:A,0),1))</f>
        <v>un</v>
      </c>
      <c r="E160" s="27"/>
      <c r="F160" s="42" t="s">
        <v>572</v>
      </c>
      <c r="G160" s="28" t="str">
        <f t="shared" si="2"/>
        <v/>
      </c>
      <c r="H160" s="29"/>
      <c r="I160" s="30"/>
      <c r="J160" s="156">
        <v>0</v>
      </c>
    </row>
    <row r="161" spans="1:10" ht="15.75" hidden="1" thickBot="1" x14ac:dyDescent="0.3">
      <c r="A161" s="222"/>
      <c r="B161" s="225"/>
      <c r="C161" s="32"/>
      <c r="D161" s="32"/>
      <c r="E161" s="33"/>
      <c r="F161" s="43" t="s">
        <v>572</v>
      </c>
      <c r="G161" s="31" t="str">
        <f t="shared" si="2"/>
        <v/>
      </c>
      <c r="H161" s="35"/>
      <c r="I161" s="31"/>
      <c r="J161" s="156">
        <v>0</v>
      </c>
    </row>
    <row r="162" spans="1:10" ht="15.75" hidden="1" thickBot="1" x14ac:dyDescent="0.3">
      <c r="A162" s="222"/>
      <c r="B162" s="225"/>
      <c r="C162" s="36" t="s">
        <v>39</v>
      </c>
      <c r="D162" s="47" t="s">
        <v>12</v>
      </c>
      <c r="E162" s="37">
        <v>0.128</v>
      </c>
      <c r="F162" s="31">
        <v>21.622</v>
      </c>
      <c r="G162" s="34">
        <f t="shared" si="2"/>
        <v>2.7676159999999999</v>
      </c>
      <c r="H162" s="39">
        <f>SUM(G162:G163)</f>
        <v>6.8683271000000001</v>
      </c>
      <c r="I162" s="40"/>
      <c r="J162" s="156">
        <v>0</v>
      </c>
    </row>
    <row r="163" spans="1:10" ht="15.75" hidden="1" thickBot="1" x14ac:dyDescent="0.3">
      <c r="A163" s="222"/>
      <c r="B163" s="225"/>
      <c r="C163" s="36" t="s">
        <v>23</v>
      </c>
      <c r="D163" s="36" t="s">
        <v>12</v>
      </c>
      <c r="E163" s="37">
        <v>0.25140000000000001</v>
      </c>
      <c r="F163" s="31">
        <v>16.311500000000002</v>
      </c>
      <c r="G163" s="34">
        <f t="shared" si="2"/>
        <v>4.1007111000000007</v>
      </c>
      <c r="H163" s="44"/>
      <c r="I163" s="40"/>
      <c r="J163" s="156">
        <v>0</v>
      </c>
    </row>
    <row r="164" spans="1:10" ht="15.75" hidden="1" thickBot="1" x14ac:dyDescent="0.3">
      <c r="A164" s="223"/>
      <c r="B164" s="226"/>
      <c r="C164" s="36"/>
      <c r="D164" s="36"/>
      <c r="E164" s="37"/>
      <c r="F164" s="31" t="s">
        <v>572</v>
      </c>
      <c r="G164" s="31" t="str">
        <f t="shared" si="2"/>
        <v/>
      </c>
      <c r="H164" s="35"/>
      <c r="I164" s="31"/>
      <c r="J164" s="156">
        <v>0</v>
      </c>
    </row>
    <row r="165" spans="1:10" ht="15.75" hidden="1" thickBot="1" x14ac:dyDescent="0.3">
      <c r="A165" s="221" t="s">
        <v>66</v>
      </c>
      <c r="B165" s="224" t="str">
        <f>INDEX(Orçamentária!A:B,MATCH(Composições!A165,Orçamentária!A:A,0),2)</f>
        <v>Remoção de painéis de vidro temperado</v>
      </c>
      <c r="C165" s="41"/>
      <c r="D165" s="26" t="str">
        <f>TRIM(INDEX(Orçamentária!C:C,MATCH(Composições!A165,Orçamentária!A:A,0),1))</f>
        <v>m2</v>
      </c>
      <c r="E165" s="27"/>
      <c r="F165" s="42" t="s">
        <v>572</v>
      </c>
      <c r="G165" s="28" t="str">
        <f t="shared" si="2"/>
        <v/>
      </c>
      <c r="H165" s="29"/>
      <c r="I165" s="30"/>
      <c r="J165" s="156">
        <v>0</v>
      </c>
    </row>
    <row r="166" spans="1:10" ht="15.75" hidden="1" thickBot="1" x14ac:dyDescent="0.3">
      <c r="A166" s="222"/>
      <c r="B166" s="225"/>
      <c r="C166" s="32"/>
      <c r="D166" s="32"/>
      <c r="E166" s="33"/>
      <c r="F166" s="43" t="s">
        <v>572</v>
      </c>
      <c r="G166" s="31" t="str">
        <f t="shared" si="2"/>
        <v/>
      </c>
      <c r="H166" s="35"/>
      <c r="I166" s="31"/>
      <c r="J166" s="156">
        <v>0</v>
      </c>
    </row>
    <row r="167" spans="1:10" ht="15.75" hidden="1" thickBot="1" x14ac:dyDescent="0.3">
      <c r="A167" s="222"/>
      <c r="B167" s="225"/>
      <c r="C167" s="36" t="s">
        <v>23</v>
      </c>
      <c r="D167" s="36" t="s">
        <v>12</v>
      </c>
      <c r="E167" s="37">
        <v>0.35</v>
      </c>
      <c r="F167" s="31">
        <v>16.311500000000002</v>
      </c>
      <c r="G167" s="34">
        <f t="shared" si="2"/>
        <v>5.7090250000000005</v>
      </c>
      <c r="H167" s="39">
        <f>SUM(G167:G168)</f>
        <v>13.43965</v>
      </c>
      <c r="I167" s="40"/>
      <c r="J167" s="156">
        <v>0</v>
      </c>
    </row>
    <row r="168" spans="1:10" ht="15.75" hidden="1" thickBot="1" x14ac:dyDescent="0.3">
      <c r="A168" s="222"/>
      <c r="B168" s="225"/>
      <c r="C168" s="36" t="s">
        <v>22</v>
      </c>
      <c r="D168" s="36" t="s">
        <v>12</v>
      </c>
      <c r="E168" s="37">
        <v>0.35</v>
      </c>
      <c r="F168" s="31">
        <v>22.087499999999999</v>
      </c>
      <c r="G168" s="34">
        <f t="shared" si="2"/>
        <v>7.730624999999999</v>
      </c>
      <c r="H168" s="35"/>
      <c r="I168" s="31"/>
      <c r="J168" s="156">
        <v>0</v>
      </c>
    </row>
    <row r="169" spans="1:10" ht="15.75" hidden="1" thickBot="1" x14ac:dyDescent="0.3">
      <c r="A169" s="223"/>
      <c r="B169" s="226"/>
      <c r="C169" s="36"/>
      <c r="D169" s="36"/>
      <c r="E169" s="37"/>
      <c r="F169" s="31" t="s">
        <v>572</v>
      </c>
      <c r="G169" s="31" t="str">
        <f t="shared" si="2"/>
        <v/>
      </c>
      <c r="H169" s="35"/>
      <c r="I169" s="31"/>
      <c r="J169" s="156">
        <v>0</v>
      </c>
    </row>
    <row r="170" spans="1:10" ht="15.75" hidden="1" thickBot="1" x14ac:dyDescent="0.3">
      <c r="A170" s="221" t="s">
        <v>67</v>
      </c>
      <c r="B170" s="224" t="str">
        <f>INDEX(Orçamentária!A:B,MATCH(Composições!A170,Orçamentária!A:A,0),2)</f>
        <v>Remoção de película</v>
      </c>
      <c r="C170" s="41"/>
      <c r="D170" s="26" t="str">
        <f>TRIM(INDEX(Orçamentária!C:C,MATCH(Composições!A170,Orçamentária!A:A,0),1))</f>
        <v>m2</v>
      </c>
      <c r="E170" s="27"/>
      <c r="F170" s="42" t="s">
        <v>572</v>
      </c>
      <c r="G170" s="28" t="str">
        <f t="shared" si="2"/>
        <v/>
      </c>
      <c r="H170" s="29"/>
      <c r="I170" s="30"/>
      <c r="J170" s="156">
        <v>0</v>
      </c>
    </row>
    <row r="171" spans="1:10" ht="15.75" hidden="1" thickBot="1" x14ac:dyDescent="0.3">
      <c r="A171" s="222"/>
      <c r="B171" s="225"/>
      <c r="C171" s="32"/>
      <c r="D171" s="32"/>
      <c r="E171" s="33"/>
      <c r="F171" s="43" t="s">
        <v>572</v>
      </c>
      <c r="G171" s="31" t="str">
        <f t="shared" si="2"/>
        <v/>
      </c>
      <c r="H171" s="35"/>
      <c r="I171" s="31"/>
      <c r="J171" s="156">
        <v>0</v>
      </c>
    </row>
    <row r="172" spans="1:10" ht="15.75" hidden="1" thickBot="1" x14ac:dyDescent="0.3">
      <c r="A172" s="222"/>
      <c r="B172" s="225"/>
      <c r="C172" s="36" t="s">
        <v>68</v>
      </c>
      <c r="D172" s="36" t="s">
        <v>12</v>
      </c>
      <c r="E172" s="37">
        <v>0.4</v>
      </c>
      <c r="F172" s="31">
        <v>20.539000000000001</v>
      </c>
      <c r="G172" s="34">
        <f t="shared" si="2"/>
        <v>8.2156000000000002</v>
      </c>
      <c r="H172" s="39">
        <f>SUM(G172:G172)</f>
        <v>8.2156000000000002</v>
      </c>
      <c r="I172" s="40"/>
      <c r="J172" s="156">
        <v>0</v>
      </c>
    </row>
    <row r="173" spans="1:10" ht="15.75" hidden="1" thickBot="1" x14ac:dyDescent="0.3">
      <c r="A173" s="223"/>
      <c r="B173" s="226"/>
      <c r="C173" s="36"/>
      <c r="D173" s="36"/>
      <c r="E173" s="37"/>
      <c r="F173" s="31" t="s">
        <v>572</v>
      </c>
      <c r="G173" s="31" t="str">
        <f t="shared" si="2"/>
        <v/>
      </c>
      <c r="H173" s="35"/>
      <c r="I173" s="31"/>
      <c r="J173" s="156">
        <v>0</v>
      </c>
    </row>
    <row r="174" spans="1:10" ht="15.75" hidden="1" thickBot="1" x14ac:dyDescent="0.3">
      <c r="A174" s="221" t="s">
        <v>69</v>
      </c>
      <c r="B174" s="224" t="str">
        <f>INDEX(Orçamentária!A:B,MATCH(Composições!A174,Orçamentária!A:A,0),2)</f>
        <v>Remoção de persianas</v>
      </c>
      <c r="C174" s="41"/>
      <c r="D174" s="26" t="str">
        <f>TRIM(INDEX(Orçamentária!C:C,MATCH(Composições!A174,Orçamentária!A:A,0),1))</f>
        <v>m</v>
      </c>
      <c r="E174" s="27"/>
      <c r="F174" s="42" t="s">
        <v>572</v>
      </c>
      <c r="G174" s="28" t="str">
        <f t="shared" si="2"/>
        <v/>
      </c>
      <c r="H174" s="29"/>
      <c r="I174" s="30"/>
      <c r="J174" s="156">
        <v>0</v>
      </c>
    </row>
    <row r="175" spans="1:10" ht="15.75" hidden="1" thickBot="1" x14ac:dyDescent="0.3">
      <c r="A175" s="222"/>
      <c r="B175" s="225"/>
      <c r="C175" s="32"/>
      <c r="D175" s="32"/>
      <c r="E175" s="33"/>
      <c r="F175" s="43" t="s">
        <v>572</v>
      </c>
      <c r="G175" s="31" t="str">
        <f t="shared" si="2"/>
        <v/>
      </c>
      <c r="H175" s="35"/>
      <c r="I175" s="31"/>
      <c r="J175" s="156">
        <v>0</v>
      </c>
    </row>
    <row r="176" spans="1:10" ht="15.75" hidden="1" thickBot="1" x14ac:dyDescent="0.3">
      <c r="A176" s="222"/>
      <c r="B176" s="225"/>
      <c r="C176" s="36" t="s">
        <v>50</v>
      </c>
      <c r="D176" s="36" t="s">
        <v>12</v>
      </c>
      <c r="E176" s="37">
        <f>ROUND(1/6,4)</f>
        <v>0.16669999999999999</v>
      </c>
      <c r="F176" s="31">
        <v>19.3705</v>
      </c>
      <c r="G176" s="34">
        <f t="shared" si="2"/>
        <v>3.2290623499999995</v>
      </c>
      <c r="H176" s="39">
        <f>SUM(G176:G176)</f>
        <v>3.2290623499999995</v>
      </c>
      <c r="I176" s="40"/>
      <c r="J176" s="156">
        <v>0</v>
      </c>
    </row>
    <row r="177" spans="1:10" ht="15.75" hidden="1" thickBot="1" x14ac:dyDescent="0.3">
      <c r="A177" s="223"/>
      <c r="B177" s="226"/>
      <c r="C177" s="36"/>
      <c r="D177" s="36"/>
      <c r="E177" s="37"/>
      <c r="F177" s="31" t="s">
        <v>572</v>
      </c>
      <c r="G177" s="31" t="str">
        <f t="shared" si="2"/>
        <v/>
      </c>
      <c r="H177" s="35"/>
      <c r="I177" s="31"/>
      <c r="J177" s="156">
        <v>0</v>
      </c>
    </row>
    <row r="178" spans="1:10" ht="15.75" hidden="1" thickBot="1" x14ac:dyDescent="0.3">
      <c r="A178" s="221" t="s">
        <v>70</v>
      </c>
      <c r="B178" s="224" t="str">
        <f>INDEX(Orçamentária!A:B,MATCH(Composições!A178,Orçamentária!A:A,0),2)</f>
        <v>Remoção de pintura ou textura</v>
      </c>
      <c r="C178" s="41"/>
      <c r="D178" s="26" t="str">
        <f>TRIM(INDEX(Orçamentária!C:C,MATCH(Composições!A178,Orçamentária!A:A,0),1))</f>
        <v>m2</v>
      </c>
      <c r="E178" s="27"/>
      <c r="F178" s="42" t="s">
        <v>572</v>
      </c>
      <c r="G178" s="28" t="str">
        <f t="shared" si="2"/>
        <v/>
      </c>
      <c r="H178" s="29"/>
      <c r="I178" s="30"/>
      <c r="J178" s="156">
        <v>0</v>
      </c>
    </row>
    <row r="179" spans="1:10" ht="15.75" hidden="1" thickBot="1" x14ac:dyDescent="0.3">
      <c r="A179" s="222"/>
      <c r="B179" s="225"/>
      <c r="C179" s="32"/>
      <c r="D179" s="32"/>
      <c r="E179" s="33"/>
      <c r="F179" s="43" t="s">
        <v>572</v>
      </c>
      <c r="G179" s="31" t="str">
        <f t="shared" si="2"/>
        <v/>
      </c>
      <c r="H179" s="35"/>
      <c r="I179" s="31"/>
      <c r="J179" s="156">
        <v>0</v>
      </c>
    </row>
    <row r="180" spans="1:10" ht="15.75" hidden="1" thickBot="1" x14ac:dyDescent="0.3">
      <c r="A180" s="222"/>
      <c r="B180" s="225"/>
      <c r="C180" s="36" t="s">
        <v>23</v>
      </c>
      <c r="D180" s="36" t="s">
        <v>12</v>
      </c>
      <c r="E180" s="37">
        <v>0.4</v>
      </c>
      <c r="F180" s="31">
        <v>16.311500000000002</v>
      </c>
      <c r="G180" s="34">
        <f t="shared" si="2"/>
        <v>6.5246000000000013</v>
      </c>
      <c r="H180" s="39">
        <f>SUM(G180:G180)</f>
        <v>6.5246000000000013</v>
      </c>
      <c r="I180" s="40"/>
      <c r="J180" s="156">
        <v>0</v>
      </c>
    </row>
    <row r="181" spans="1:10" ht="15.75" hidden="1" thickBot="1" x14ac:dyDescent="0.3">
      <c r="A181" s="223"/>
      <c r="B181" s="226"/>
      <c r="C181" s="36"/>
      <c r="D181" s="36"/>
      <c r="E181" s="37"/>
      <c r="F181" s="31" t="s">
        <v>572</v>
      </c>
      <c r="G181" s="31" t="str">
        <f t="shared" si="2"/>
        <v/>
      </c>
      <c r="H181" s="35"/>
      <c r="I181" s="31"/>
      <c r="J181" s="156">
        <v>0</v>
      </c>
    </row>
    <row r="182" spans="1:10" ht="15.75" hidden="1" thickBot="1" x14ac:dyDescent="0.3">
      <c r="A182" s="221" t="s">
        <v>71</v>
      </c>
      <c r="B182" s="224" t="str">
        <f>INDEX(Orçamentária!A:B,MATCH(Composições!A182,Orçamentária!A:A,0),2)</f>
        <v>Remoção de placas de forro</v>
      </c>
      <c r="C182" s="41"/>
      <c r="D182" s="26" t="str">
        <f>TRIM(INDEX(Orçamentária!C:C,MATCH(Composições!A182,Orçamentária!A:A,0),1))</f>
        <v>m2</v>
      </c>
      <c r="E182" s="27"/>
      <c r="F182" s="42" t="s">
        <v>572</v>
      </c>
      <c r="G182" s="28" t="str">
        <f t="shared" si="2"/>
        <v/>
      </c>
      <c r="H182" s="29"/>
      <c r="I182" s="30"/>
      <c r="J182" s="156">
        <v>0</v>
      </c>
    </row>
    <row r="183" spans="1:10" ht="15.75" hidden="1" thickBot="1" x14ac:dyDescent="0.3">
      <c r="A183" s="222"/>
      <c r="B183" s="225"/>
      <c r="C183" s="32"/>
      <c r="D183" s="32"/>
      <c r="E183" s="33"/>
      <c r="F183" s="43" t="s">
        <v>572</v>
      </c>
      <c r="G183" s="31" t="str">
        <f t="shared" si="2"/>
        <v/>
      </c>
      <c r="H183" s="35"/>
      <c r="I183" s="31"/>
      <c r="J183" s="156">
        <v>0</v>
      </c>
    </row>
    <row r="184" spans="1:10" ht="15.75" hidden="1" thickBot="1" x14ac:dyDescent="0.3">
      <c r="A184" s="222"/>
      <c r="B184" s="225"/>
      <c r="C184" s="36" t="s">
        <v>27</v>
      </c>
      <c r="D184" s="36" t="s">
        <v>12</v>
      </c>
      <c r="E184" s="37">
        <f>0.0258*3</f>
        <v>7.7399999999999997E-2</v>
      </c>
      <c r="F184" s="31">
        <v>16.852999999999998</v>
      </c>
      <c r="G184" s="34">
        <f t="shared" si="2"/>
        <v>1.3044221999999999</v>
      </c>
      <c r="H184" s="39">
        <f>SUM(G184:G185)</f>
        <v>3.7854013500000003</v>
      </c>
      <c r="I184" s="40"/>
      <c r="J184" s="156">
        <v>0</v>
      </c>
    </row>
    <row r="185" spans="1:10" ht="15.75" hidden="1" thickBot="1" x14ac:dyDescent="0.3">
      <c r="A185" s="222"/>
      <c r="B185" s="225"/>
      <c r="C185" s="36" t="s">
        <v>23</v>
      </c>
      <c r="D185" s="36" t="s">
        <v>12</v>
      </c>
      <c r="E185" s="37">
        <f>0.0507*3</f>
        <v>0.15210000000000001</v>
      </c>
      <c r="F185" s="31">
        <v>16.311500000000002</v>
      </c>
      <c r="G185" s="34">
        <f t="shared" si="2"/>
        <v>2.4809791500000005</v>
      </c>
      <c r="H185" s="35"/>
      <c r="I185" s="31"/>
      <c r="J185" s="156">
        <v>0</v>
      </c>
    </row>
    <row r="186" spans="1:10" ht="15.75" hidden="1" thickBot="1" x14ac:dyDescent="0.3">
      <c r="A186" s="222"/>
      <c r="B186" s="225"/>
      <c r="C186" s="36"/>
      <c r="D186" s="36"/>
      <c r="E186" s="37"/>
      <c r="F186" s="31" t="s">
        <v>572</v>
      </c>
      <c r="G186" s="34" t="str">
        <f t="shared" si="2"/>
        <v/>
      </c>
      <c r="H186" s="35"/>
      <c r="I186" s="31"/>
      <c r="J186" s="156">
        <v>0</v>
      </c>
    </row>
    <row r="187" spans="1:10" ht="15.75" hidden="1" thickBot="1" x14ac:dyDescent="0.3">
      <c r="A187" s="222"/>
      <c r="B187" s="225"/>
      <c r="C187" s="48" t="s">
        <v>72</v>
      </c>
      <c r="D187" s="36"/>
      <c r="E187" s="37"/>
      <c r="F187" s="31" t="s">
        <v>572</v>
      </c>
      <c r="G187" s="34" t="str">
        <f t="shared" si="2"/>
        <v/>
      </c>
      <c r="H187" s="35"/>
      <c r="I187" s="31"/>
      <c r="J187" s="156">
        <v>0</v>
      </c>
    </row>
    <row r="188" spans="1:10" ht="15.75" hidden="1" thickBot="1" x14ac:dyDescent="0.3">
      <c r="A188" s="223"/>
      <c r="B188" s="226"/>
      <c r="C188" s="36"/>
      <c r="D188" s="36"/>
      <c r="E188" s="37"/>
      <c r="F188" s="31" t="s">
        <v>572</v>
      </c>
      <c r="G188" s="31" t="str">
        <f t="shared" si="2"/>
        <v/>
      </c>
      <c r="H188" s="35"/>
      <c r="I188" s="31"/>
      <c r="J188" s="156">
        <v>0</v>
      </c>
    </row>
    <row r="189" spans="1:10" ht="15.75" hidden="1" thickBot="1" x14ac:dyDescent="0.3">
      <c r="A189" s="221" t="s">
        <v>73</v>
      </c>
      <c r="B189" s="224" t="str">
        <f>INDEX(Orçamentária!A:B,MATCH(Composições!A189,Orçamentária!A:A,0),2)</f>
        <v>Remoção de quadros de elétricos ou de telecomunicações</v>
      </c>
      <c r="C189" s="41"/>
      <c r="D189" s="26" t="str">
        <f>TRIM(INDEX(Orçamentária!C:C,MATCH(Composições!A189,Orçamentária!A:A,0),1))</f>
        <v>un</v>
      </c>
      <c r="E189" s="27"/>
      <c r="F189" s="42" t="s">
        <v>572</v>
      </c>
      <c r="G189" s="28" t="str">
        <f t="shared" si="2"/>
        <v/>
      </c>
      <c r="H189" s="29"/>
      <c r="I189" s="30"/>
      <c r="J189" s="156">
        <v>0</v>
      </c>
    </row>
    <row r="190" spans="1:10" ht="15.75" hidden="1" thickBot="1" x14ac:dyDescent="0.3">
      <c r="A190" s="222"/>
      <c r="B190" s="225"/>
      <c r="C190" s="32"/>
      <c r="D190" s="32"/>
      <c r="E190" s="33"/>
      <c r="F190" s="43" t="s">
        <v>572</v>
      </c>
      <c r="G190" s="31" t="str">
        <f t="shared" si="2"/>
        <v/>
      </c>
      <c r="H190" s="35"/>
      <c r="I190" s="31"/>
      <c r="J190" s="156">
        <v>0</v>
      </c>
    </row>
    <row r="191" spans="1:10" ht="15.75" hidden="1" thickBot="1" x14ac:dyDescent="0.3">
      <c r="A191" s="222"/>
      <c r="B191" s="225"/>
      <c r="C191" s="36" t="s">
        <v>74</v>
      </c>
      <c r="D191" s="36" t="s">
        <v>12</v>
      </c>
      <c r="E191" s="37">
        <v>0.5</v>
      </c>
      <c r="F191" s="31">
        <v>17.366</v>
      </c>
      <c r="G191" s="34">
        <f t="shared" si="2"/>
        <v>8.6829999999999998</v>
      </c>
      <c r="H191" s="39">
        <f>SUM(G191:G194)</f>
        <v>58.216000000000001</v>
      </c>
      <c r="I191" s="40"/>
      <c r="J191" s="156">
        <v>0</v>
      </c>
    </row>
    <row r="192" spans="1:10" ht="15.75" hidden="1" thickBot="1" x14ac:dyDescent="0.3">
      <c r="A192" s="222"/>
      <c r="B192" s="225"/>
      <c r="C192" s="36" t="s">
        <v>30</v>
      </c>
      <c r="D192" s="36" t="s">
        <v>12</v>
      </c>
      <c r="E192" s="37">
        <v>0.5</v>
      </c>
      <c r="F192" s="31">
        <v>22.268000000000001</v>
      </c>
      <c r="G192" s="34">
        <f t="shared" si="2"/>
        <v>11.134</v>
      </c>
      <c r="H192" s="35"/>
      <c r="I192" s="31"/>
      <c r="J192" s="156">
        <v>0</v>
      </c>
    </row>
    <row r="193" spans="1:10" ht="15.75" hidden="1" thickBot="1" x14ac:dyDescent="0.3">
      <c r="A193" s="222"/>
      <c r="B193" s="225"/>
      <c r="C193" s="36" t="s">
        <v>22</v>
      </c>
      <c r="D193" s="36" t="s">
        <v>12</v>
      </c>
      <c r="E193" s="37">
        <v>1</v>
      </c>
      <c r="F193" s="31">
        <v>22.087499999999999</v>
      </c>
      <c r="G193" s="34">
        <f t="shared" si="2"/>
        <v>22.087499999999999</v>
      </c>
      <c r="H193" s="35"/>
      <c r="I193" s="31"/>
      <c r="J193" s="156">
        <v>0</v>
      </c>
    </row>
    <row r="194" spans="1:10" ht="15.75" hidden="1" thickBot="1" x14ac:dyDescent="0.3">
      <c r="A194" s="222"/>
      <c r="B194" s="225"/>
      <c r="C194" s="36" t="s">
        <v>23</v>
      </c>
      <c r="D194" s="36" t="s">
        <v>12</v>
      </c>
      <c r="E194" s="37">
        <v>1</v>
      </c>
      <c r="F194" s="31">
        <v>16.311500000000002</v>
      </c>
      <c r="G194" s="34">
        <f t="shared" si="2"/>
        <v>16.311500000000002</v>
      </c>
      <c r="H194" s="35"/>
      <c r="I194" s="31"/>
      <c r="J194" s="156">
        <v>0</v>
      </c>
    </row>
    <row r="195" spans="1:10" ht="15.75" hidden="1" thickBot="1" x14ac:dyDescent="0.3">
      <c r="A195" s="223"/>
      <c r="B195" s="226"/>
      <c r="C195" s="36"/>
      <c r="D195" s="36"/>
      <c r="E195" s="37"/>
      <c r="F195" s="31" t="s">
        <v>572</v>
      </c>
      <c r="G195" s="31" t="str">
        <f t="shared" si="2"/>
        <v/>
      </c>
      <c r="H195" s="35"/>
      <c r="I195" s="31"/>
      <c r="J195" s="156">
        <v>0</v>
      </c>
    </row>
    <row r="196" spans="1:10" ht="15.75" hidden="1" thickBot="1" x14ac:dyDescent="0.3">
      <c r="A196" s="221" t="s">
        <v>75</v>
      </c>
      <c r="B196" s="224" t="str">
        <f>INDEX(Orçamentária!A:B,MATCH(Composições!A196,Orçamentária!A:A,0),2)</f>
        <v>Remoção de revestimento acústico</v>
      </c>
      <c r="C196" s="41"/>
      <c r="D196" s="26" t="str">
        <f>TRIM(INDEX(Orçamentária!C:C,MATCH(Composições!A196,Orçamentária!A:A,0),1))</f>
        <v>m2</v>
      </c>
      <c r="E196" s="27"/>
      <c r="F196" s="42" t="s">
        <v>572</v>
      </c>
      <c r="G196" s="28" t="str">
        <f t="shared" si="2"/>
        <v/>
      </c>
      <c r="H196" s="29"/>
      <c r="I196" s="30"/>
      <c r="J196" s="156">
        <v>0</v>
      </c>
    </row>
    <row r="197" spans="1:10" ht="15.75" hidden="1" thickBot="1" x14ac:dyDescent="0.3">
      <c r="A197" s="222"/>
      <c r="B197" s="225"/>
      <c r="C197" s="32"/>
      <c r="D197" s="32"/>
      <c r="E197" s="33"/>
      <c r="F197" s="43" t="s">
        <v>572</v>
      </c>
      <c r="G197" s="31" t="str">
        <f t="shared" si="2"/>
        <v/>
      </c>
      <c r="H197" s="35"/>
      <c r="I197" s="31"/>
      <c r="J197" s="156">
        <v>0</v>
      </c>
    </row>
    <row r="198" spans="1:10" ht="15.75" hidden="1" thickBot="1" x14ac:dyDescent="0.3">
      <c r="A198" s="222"/>
      <c r="B198" s="225"/>
      <c r="C198" s="36" t="s">
        <v>23</v>
      </c>
      <c r="D198" s="36" t="s">
        <v>12</v>
      </c>
      <c r="E198" s="37">
        <v>0.2</v>
      </c>
      <c r="F198" s="31">
        <v>16.311500000000002</v>
      </c>
      <c r="G198" s="34">
        <f t="shared" ref="G198:G261" si="3">IF(ISNUMBER(F198),E198*F198,"")</f>
        <v>3.2623000000000006</v>
      </c>
      <c r="H198" s="39">
        <f>SUM(G198:G198)</f>
        <v>3.2623000000000006</v>
      </c>
      <c r="I198" s="40"/>
      <c r="J198" s="156">
        <v>0</v>
      </c>
    </row>
    <row r="199" spans="1:10" ht="15.75" hidden="1" thickBot="1" x14ac:dyDescent="0.3">
      <c r="A199" s="223"/>
      <c r="B199" s="226"/>
      <c r="C199" s="36"/>
      <c r="D199" s="36"/>
      <c r="E199" s="37"/>
      <c r="F199" s="31" t="s">
        <v>572</v>
      </c>
      <c r="G199" s="31" t="str">
        <f t="shared" si="3"/>
        <v/>
      </c>
      <c r="H199" s="35"/>
      <c r="I199" s="31"/>
      <c r="J199" s="156">
        <v>0</v>
      </c>
    </row>
    <row r="200" spans="1:10" ht="15.75" hidden="1" thickBot="1" x14ac:dyDescent="0.3">
      <c r="A200" s="221" t="s">
        <v>76</v>
      </c>
      <c r="B200" s="224" t="str">
        <f>INDEX(Orçamentária!A:B,MATCH(Composições!A200,Orçamentária!A:A,0),2)</f>
        <v>Remoção de rodapé/rodabanca de mármore ou granito</v>
      </c>
      <c r="C200" s="41"/>
      <c r="D200" s="26" t="str">
        <f>TRIM(INDEX(Orçamentária!C:C,MATCH(Composições!A200,Orçamentária!A:A,0),1))</f>
        <v>m</v>
      </c>
      <c r="E200" s="27"/>
      <c r="F200" s="42" t="s">
        <v>572</v>
      </c>
      <c r="G200" s="28" t="str">
        <f t="shared" si="3"/>
        <v/>
      </c>
      <c r="H200" s="29"/>
      <c r="I200" s="30"/>
      <c r="J200" s="156">
        <v>0</v>
      </c>
    </row>
    <row r="201" spans="1:10" ht="15.75" hidden="1" thickBot="1" x14ac:dyDescent="0.3">
      <c r="A201" s="222"/>
      <c r="B201" s="225"/>
      <c r="C201" s="32"/>
      <c r="D201" s="32"/>
      <c r="E201" s="33"/>
      <c r="F201" s="43" t="s">
        <v>572</v>
      </c>
      <c r="G201" s="31" t="str">
        <f t="shared" si="3"/>
        <v/>
      </c>
      <c r="H201" s="35"/>
      <c r="I201" s="31"/>
      <c r="J201" s="156">
        <v>0</v>
      </c>
    </row>
    <row r="202" spans="1:10" ht="15.75" hidden="1" thickBot="1" x14ac:dyDescent="0.3">
      <c r="A202" s="222"/>
      <c r="B202" s="225"/>
      <c r="C202" s="36" t="s">
        <v>23</v>
      </c>
      <c r="D202" s="36" t="s">
        <v>12</v>
      </c>
      <c r="E202" s="37">
        <f>0.437*0.2</f>
        <v>8.7400000000000005E-2</v>
      </c>
      <c r="F202" s="31">
        <v>16.311500000000002</v>
      </c>
      <c r="G202" s="34">
        <f t="shared" si="3"/>
        <v>1.4256251000000002</v>
      </c>
      <c r="H202" s="39">
        <f>SUM(G202:G202)</f>
        <v>1.4256251000000002</v>
      </c>
      <c r="I202" s="40"/>
      <c r="J202" s="156">
        <v>0</v>
      </c>
    </row>
    <row r="203" spans="1:10" ht="15.75" hidden="1" thickBot="1" x14ac:dyDescent="0.3">
      <c r="A203" s="222"/>
      <c r="B203" s="225"/>
      <c r="C203" s="36"/>
      <c r="D203" s="36"/>
      <c r="E203" s="37"/>
      <c r="F203" s="31" t="s">
        <v>572</v>
      </c>
      <c r="G203" s="34" t="str">
        <f t="shared" si="3"/>
        <v/>
      </c>
      <c r="H203" s="35"/>
      <c r="I203" s="31"/>
      <c r="J203" s="156">
        <v>0</v>
      </c>
    </row>
    <row r="204" spans="1:10" ht="15.75" hidden="1" thickBot="1" x14ac:dyDescent="0.3">
      <c r="A204" s="221" t="s">
        <v>77</v>
      </c>
      <c r="B204" s="224" t="str">
        <f>INDEX(Orçamentária!A:B,MATCH(Composições!A204,Orçamentária!A:A,0),2)</f>
        <v>Remoção de rodapés de madeira</v>
      </c>
      <c r="C204" s="41"/>
      <c r="D204" s="26" t="str">
        <f>TRIM(INDEX(Orçamentária!C:C,MATCH(Composições!A204,Orçamentária!A:A,0),1))</f>
        <v>m2</v>
      </c>
      <c r="E204" s="27"/>
      <c r="F204" s="42" t="s">
        <v>572</v>
      </c>
      <c r="G204" s="28" t="str">
        <f t="shared" si="3"/>
        <v/>
      </c>
      <c r="H204" s="29"/>
      <c r="I204" s="30"/>
      <c r="J204" s="156">
        <v>0</v>
      </c>
    </row>
    <row r="205" spans="1:10" ht="15.75" hidden="1" thickBot="1" x14ac:dyDescent="0.3">
      <c r="A205" s="222"/>
      <c r="B205" s="225"/>
      <c r="C205" s="32"/>
      <c r="D205" s="32"/>
      <c r="E205" s="33"/>
      <c r="F205" s="43" t="s">
        <v>572</v>
      </c>
      <c r="G205" s="31" t="str">
        <f t="shared" si="3"/>
        <v/>
      </c>
      <c r="H205" s="35"/>
      <c r="I205" s="31"/>
      <c r="J205" s="156">
        <v>0</v>
      </c>
    </row>
    <row r="206" spans="1:10" ht="15.75" hidden="1" thickBot="1" x14ac:dyDescent="0.3">
      <c r="A206" s="222"/>
      <c r="B206" s="225"/>
      <c r="C206" s="36" t="s">
        <v>78</v>
      </c>
      <c r="D206" s="36" t="s">
        <v>12</v>
      </c>
      <c r="E206" s="37">
        <v>0.25</v>
      </c>
      <c r="F206" s="31">
        <v>21.878499999999999</v>
      </c>
      <c r="G206" s="31">
        <f t="shared" si="3"/>
        <v>5.4696249999999997</v>
      </c>
      <c r="H206" s="39">
        <f>SUM(G206:G207)</f>
        <v>5.8774125000000002</v>
      </c>
      <c r="I206" s="40"/>
      <c r="J206" s="156">
        <v>0</v>
      </c>
    </row>
    <row r="207" spans="1:10" ht="15.75" hidden="1" thickBot="1" x14ac:dyDescent="0.3">
      <c r="A207" s="222"/>
      <c r="B207" s="225"/>
      <c r="C207" s="36" t="s">
        <v>23</v>
      </c>
      <c r="D207" s="47" t="s">
        <v>12</v>
      </c>
      <c r="E207" s="37">
        <v>2.5000000000000001E-2</v>
      </c>
      <c r="F207" s="31">
        <v>16.311500000000002</v>
      </c>
      <c r="G207" s="34">
        <f t="shared" si="3"/>
        <v>0.40778750000000008</v>
      </c>
      <c r="H207" s="35"/>
      <c r="I207" s="31"/>
      <c r="J207" s="156">
        <v>0</v>
      </c>
    </row>
    <row r="208" spans="1:10" ht="15.75" hidden="1" thickBot="1" x14ac:dyDescent="0.3">
      <c r="A208" s="223"/>
      <c r="B208" s="226"/>
      <c r="C208" s="36"/>
      <c r="D208" s="36"/>
      <c r="E208" s="37"/>
      <c r="F208" s="31" t="s">
        <v>572</v>
      </c>
      <c r="G208" s="31" t="str">
        <f t="shared" si="3"/>
        <v/>
      </c>
      <c r="H208" s="35"/>
      <c r="I208" s="31"/>
      <c r="J208" s="156">
        <v>0</v>
      </c>
    </row>
    <row r="209" spans="1:10" ht="15.75" hidden="1" thickBot="1" x14ac:dyDescent="0.3">
      <c r="A209" s="221" t="s">
        <v>79</v>
      </c>
      <c r="B209" s="224" t="str">
        <f>INDEX(Orçamentária!A:B,MATCH(Composições!A209,Orçamentária!A:A,0),2)</f>
        <v>Remoção de soleira de mármore ou granito</v>
      </c>
      <c r="C209" s="41"/>
      <c r="D209" s="26" t="str">
        <f>TRIM(INDEX(Orçamentária!C:C,MATCH(Composições!A209,Orçamentária!A:A,0),1))</f>
        <v>m</v>
      </c>
      <c r="E209" s="27"/>
      <c r="F209" s="42" t="s">
        <v>572</v>
      </c>
      <c r="G209" s="28" t="str">
        <f t="shared" si="3"/>
        <v/>
      </c>
      <c r="H209" s="29"/>
      <c r="I209" s="30"/>
      <c r="J209" s="156">
        <v>0</v>
      </c>
    </row>
    <row r="210" spans="1:10" ht="15.75" hidden="1" thickBot="1" x14ac:dyDescent="0.3">
      <c r="A210" s="222"/>
      <c r="B210" s="225"/>
      <c r="C210" s="32"/>
      <c r="D210" s="32"/>
      <c r="E210" s="33"/>
      <c r="F210" s="43" t="s">
        <v>572</v>
      </c>
      <c r="G210" s="31" t="str">
        <f t="shared" si="3"/>
        <v/>
      </c>
      <c r="H210" s="35"/>
      <c r="I210" s="31"/>
      <c r="J210" s="156">
        <v>0</v>
      </c>
    </row>
    <row r="211" spans="1:10" ht="15.75" hidden="1" thickBot="1" x14ac:dyDescent="0.3">
      <c r="A211" s="222"/>
      <c r="B211" s="225"/>
      <c r="C211" s="36" t="s">
        <v>23</v>
      </c>
      <c r="D211" s="36" t="s">
        <v>12</v>
      </c>
      <c r="E211" s="37">
        <v>0.55000000000000004</v>
      </c>
      <c r="F211" s="31">
        <v>16.311500000000002</v>
      </c>
      <c r="G211" s="34">
        <f t="shared" si="3"/>
        <v>8.971325000000002</v>
      </c>
      <c r="H211" s="39">
        <f>SUM(G211:G211)</f>
        <v>8.971325000000002</v>
      </c>
      <c r="I211" s="40"/>
      <c r="J211" s="156">
        <v>0</v>
      </c>
    </row>
    <row r="212" spans="1:10" ht="15.75" hidden="1" thickBot="1" x14ac:dyDescent="0.3">
      <c r="A212" s="223"/>
      <c r="B212" s="226"/>
      <c r="C212" s="36"/>
      <c r="D212" s="36"/>
      <c r="E212" s="37"/>
      <c r="F212" s="31" t="s">
        <v>572</v>
      </c>
      <c r="G212" s="31" t="str">
        <f t="shared" si="3"/>
        <v/>
      </c>
      <c r="H212" s="35"/>
      <c r="I212" s="31"/>
      <c r="J212" s="156">
        <v>0</v>
      </c>
    </row>
    <row r="213" spans="1:10" ht="15.75" hidden="1" thickBot="1" x14ac:dyDescent="0.3">
      <c r="A213" s="221" t="s">
        <v>80</v>
      </c>
      <c r="B213" s="224" t="str">
        <f>INDEX(Orçamentária!A:B,MATCH(Composições!A213,Orçamentária!A:A,0),2)</f>
        <v>Remoção de split/fancolete/ACJ (equipamento unitário)</v>
      </c>
      <c r="C213" s="41"/>
      <c r="D213" s="26" t="str">
        <f>TRIM(INDEX(Orçamentária!C:C,MATCH(Composições!A213,Orçamentária!A:A,0),1))</f>
        <v>un</v>
      </c>
      <c r="E213" s="27"/>
      <c r="F213" s="42" t="s">
        <v>572</v>
      </c>
      <c r="G213" s="28" t="str">
        <f t="shared" si="3"/>
        <v/>
      </c>
      <c r="H213" s="29"/>
      <c r="I213" s="30"/>
      <c r="J213" s="156">
        <v>0</v>
      </c>
    </row>
    <row r="214" spans="1:10" ht="15.75" hidden="1" thickBot="1" x14ac:dyDescent="0.3">
      <c r="A214" s="222"/>
      <c r="B214" s="225"/>
      <c r="C214" s="32"/>
      <c r="D214" s="32"/>
      <c r="E214" s="33"/>
      <c r="F214" s="43" t="s">
        <v>572</v>
      </c>
      <c r="G214" s="31" t="str">
        <f t="shared" si="3"/>
        <v/>
      </c>
      <c r="H214" s="35"/>
      <c r="I214" s="31"/>
      <c r="J214" s="156">
        <v>0</v>
      </c>
    </row>
    <row r="215" spans="1:10" ht="15.75" hidden="1" thickBot="1" x14ac:dyDescent="0.3">
      <c r="A215" s="222"/>
      <c r="B215" s="225"/>
      <c r="C215" s="36" t="s">
        <v>81</v>
      </c>
      <c r="D215" s="47" t="s">
        <v>12</v>
      </c>
      <c r="E215" s="37">
        <v>1</v>
      </c>
      <c r="F215" s="31">
        <v>23.065999999999999</v>
      </c>
      <c r="G215" s="31">
        <f t="shared" si="3"/>
        <v>23.065999999999999</v>
      </c>
      <c r="H215" s="39">
        <f>SUM(G215:G216)</f>
        <v>40.536500000000004</v>
      </c>
      <c r="I215" s="40"/>
      <c r="J215" s="156">
        <v>0</v>
      </c>
    </row>
    <row r="216" spans="1:10" ht="15.75" hidden="1" thickBot="1" x14ac:dyDescent="0.3">
      <c r="A216" s="222"/>
      <c r="B216" s="225"/>
      <c r="C216" s="36" t="s">
        <v>52</v>
      </c>
      <c r="D216" s="47" t="s">
        <v>12</v>
      </c>
      <c r="E216" s="37">
        <v>1</v>
      </c>
      <c r="F216" s="31">
        <v>17.470500000000001</v>
      </c>
      <c r="G216" s="34">
        <f t="shared" si="3"/>
        <v>17.470500000000001</v>
      </c>
      <c r="H216" s="35"/>
      <c r="I216" s="31"/>
      <c r="J216" s="156">
        <v>0</v>
      </c>
    </row>
    <row r="217" spans="1:10" ht="15.75" hidden="1" thickBot="1" x14ac:dyDescent="0.3">
      <c r="A217" s="223"/>
      <c r="B217" s="226"/>
      <c r="C217" s="36"/>
      <c r="D217" s="36"/>
      <c r="E217" s="37"/>
      <c r="F217" s="31" t="s">
        <v>572</v>
      </c>
      <c r="G217" s="31" t="str">
        <f t="shared" si="3"/>
        <v/>
      </c>
      <c r="H217" s="35"/>
      <c r="I217" s="31"/>
      <c r="J217" s="156">
        <v>0</v>
      </c>
    </row>
    <row r="218" spans="1:10" ht="15.75" hidden="1" thickBot="1" x14ac:dyDescent="0.3">
      <c r="A218" s="221" t="s">
        <v>82</v>
      </c>
      <c r="B218" s="224" t="str">
        <f>INDEX(Orçamentária!A:B,MATCH(Composições!A218,Orçamentária!A:A,0),2)</f>
        <v>Remoção de vidro comum / espelho</v>
      </c>
      <c r="C218" s="41"/>
      <c r="D218" s="26" t="str">
        <f>TRIM(INDEX(Orçamentária!C:C,MATCH(Composições!A218,Orçamentária!A:A,0),1))</f>
        <v>m2</v>
      </c>
      <c r="E218" s="27"/>
      <c r="F218" s="42" t="s">
        <v>572</v>
      </c>
      <c r="G218" s="28" t="str">
        <f t="shared" si="3"/>
        <v/>
      </c>
      <c r="H218" s="29"/>
      <c r="I218" s="30"/>
      <c r="J218" s="156">
        <v>0</v>
      </c>
    </row>
    <row r="219" spans="1:10" ht="15.75" hidden="1" thickBot="1" x14ac:dyDescent="0.3">
      <c r="A219" s="222"/>
      <c r="B219" s="225"/>
      <c r="C219" s="32"/>
      <c r="D219" s="32"/>
      <c r="E219" s="33"/>
      <c r="F219" s="43" t="s">
        <v>572</v>
      </c>
      <c r="G219" s="31" t="str">
        <f t="shared" si="3"/>
        <v/>
      </c>
      <c r="H219" s="35"/>
      <c r="I219" s="31"/>
      <c r="J219" s="156">
        <v>0</v>
      </c>
    </row>
    <row r="220" spans="1:10" ht="15.75" hidden="1" thickBot="1" x14ac:dyDescent="0.3">
      <c r="A220" s="222"/>
      <c r="B220" s="225"/>
      <c r="C220" s="36" t="s">
        <v>23</v>
      </c>
      <c r="D220" s="36" t="s">
        <v>12</v>
      </c>
      <c r="E220" s="37">
        <v>0.2</v>
      </c>
      <c r="F220" s="31">
        <v>16.311500000000002</v>
      </c>
      <c r="G220" s="34">
        <f t="shared" si="3"/>
        <v>3.2623000000000006</v>
      </c>
      <c r="H220" s="39">
        <f>SUM(G220:G221)</f>
        <v>13.5318</v>
      </c>
      <c r="I220" s="40"/>
      <c r="J220" s="156">
        <v>0</v>
      </c>
    </row>
    <row r="221" spans="1:10" ht="15.75" hidden="1" thickBot="1" x14ac:dyDescent="0.3">
      <c r="A221" s="222"/>
      <c r="B221" s="225"/>
      <c r="C221" s="36" t="s">
        <v>68</v>
      </c>
      <c r="D221" s="36" t="s">
        <v>12</v>
      </c>
      <c r="E221" s="37">
        <v>0.5</v>
      </c>
      <c r="F221" s="31">
        <v>20.539000000000001</v>
      </c>
      <c r="G221" s="34">
        <f t="shared" si="3"/>
        <v>10.269500000000001</v>
      </c>
      <c r="H221" s="35"/>
      <c r="I221" s="31"/>
      <c r="J221" s="156">
        <v>0</v>
      </c>
    </row>
    <row r="222" spans="1:10" ht="15.75" hidden="1" thickBot="1" x14ac:dyDescent="0.3">
      <c r="A222" s="223"/>
      <c r="B222" s="226"/>
      <c r="C222" s="36"/>
      <c r="D222" s="36"/>
      <c r="E222" s="37"/>
      <c r="F222" s="31" t="s">
        <v>572</v>
      </c>
      <c r="G222" s="31" t="str">
        <f t="shared" si="3"/>
        <v/>
      </c>
      <c r="H222" s="35"/>
      <c r="I222" s="31"/>
      <c r="J222" s="156">
        <v>0</v>
      </c>
    </row>
    <row r="223" spans="1:10" ht="15.75" thickBot="1" x14ac:dyDescent="0.3">
      <c r="A223" s="238" t="s">
        <v>83</v>
      </c>
      <c r="B223" s="224" t="str">
        <f>INDEX(Orçamentária!A:B,MATCH(Composições!A223,Orçamentária!A:A,0),2)</f>
        <v>Retirada de entulhos</v>
      </c>
      <c r="C223" s="41"/>
      <c r="D223" s="26" t="str">
        <f>TRIM(INDEX(Orçamentária!C:C,MATCH(Composições!A223,Orçamentária!A:A,0),1))</f>
        <v>m3</v>
      </c>
      <c r="E223" s="27"/>
      <c r="F223" s="42" t="s">
        <v>572</v>
      </c>
      <c r="G223" s="28" t="str">
        <f t="shared" si="3"/>
        <v/>
      </c>
      <c r="H223" s="29"/>
      <c r="I223" s="30"/>
      <c r="J223" s="156">
        <v>4.0000000000000008E-2</v>
      </c>
    </row>
    <row r="224" spans="1:10" x14ac:dyDescent="0.25">
      <c r="A224" s="239"/>
      <c r="B224" s="225"/>
      <c r="C224" s="32"/>
      <c r="D224" s="32"/>
      <c r="E224" s="33"/>
      <c r="F224" s="43" t="s">
        <v>572</v>
      </c>
      <c r="G224" s="31" t="str">
        <f t="shared" si="3"/>
        <v/>
      </c>
      <c r="H224" s="35"/>
      <c r="I224" s="31"/>
      <c r="J224" s="156">
        <v>4.0000000000000008E-2</v>
      </c>
    </row>
    <row r="225" spans="1:10" x14ac:dyDescent="0.25">
      <c r="A225" s="239"/>
      <c r="B225" s="225"/>
      <c r="C225" s="36" t="s">
        <v>23</v>
      </c>
      <c r="D225" s="36" t="s">
        <v>12</v>
      </c>
      <c r="E225" s="37">
        <v>1</v>
      </c>
      <c r="F225" s="31">
        <v>16.311500000000002</v>
      </c>
      <c r="G225" s="34">
        <f t="shared" si="3"/>
        <v>16.311500000000002</v>
      </c>
      <c r="H225" s="39">
        <f>SUM(G225:G225)</f>
        <v>16.311500000000002</v>
      </c>
      <c r="I225" s="40"/>
      <c r="J225" s="156">
        <v>4.0000000000000008E-2</v>
      </c>
    </row>
    <row r="226" spans="1:10" ht="15.75" thickBot="1" x14ac:dyDescent="0.3">
      <c r="A226" s="239"/>
      <c r="B226" s="225"/>
      <c r="C226" s="36"/>
      <c r="D226" s="36"/>
      <c r="E226" s="37"/>
      <c r="F226" s="31" t="s">
        <v>572</v>
      </c>
      <c r="G226" s="31" t="str">
        <f t="shared" si="3"/>
        <v/>
      </c>
      <c r="H226" s="35"/>
      <c r="I226" s="31"/>
      <c r="J226" s="156">
        <v>4.0000000000000008E-2</v>
      </c>
    </row>
    <row r="227" spans="1:10" ht="15.75" hidden="1" thickBot="1" x14ac:dyDescent="0.3">
      <c r="A227" s="238" t="s">
        <v>84</v>
      </c>
      <c r="B227" s="224" t="str">
        <f>INDEX(Orçamentária!A:B,MATCH(Composições!A227,Orçamentária!A:A,0),2)</f>
        <v>Andaime fachadeiro</v>
      </c>
      <c r="C227" s="41"/>
      <c r="D227" s="26" t="str">
        <f>TRIM(INDEX(Orçamentária!C:C,MATCH(Composições!A227,Orçamentária!A:A,0),1))</f>
        <v>m2 x mês</v>
      </c>
      <c r="E227" s="27"/>
      <c r="F227" s="42" t="s">
        <v>572</v>
      </c>
      <c r="G227" s="28" t="str">
        <f t="shared" si="3"/>
        <v/>
      </c>
      <c r="H227" s="29"/>
      <c r="I227" s="30"/>
      <c r="J227" s="156">
        <v>0</v>
      </c>
    </row>
    <row r="228" spans="1:10" ht="15.75" hidden="1" thickBot="1" x14ac:dyDescent="0.3">
      <c r="A228" s="239"/>
      <c r="B228" s="225"/>
      <c r="C228" s="32"/>
      <c r="D228" s="32"/>
      <c r="E228" s="33"/>
      <c r="F228" s="43" t="s">
        <v>572</v>
      </c>
      <c r="G228" s="31" t="str">
        <f t="shared" si="3"/>
        <v/>
      </c>
      <c r="H228" s="35"/>
      <c r="I228" s="31"/>
      <c r="J228" s="156">
        <v>0</v>
      </c>
    </row>
    <row r="229" spans="1:10" ht="39" hidden="1" thickBot="1" x14ac:dyDescent="0.3">
      <c r="A229" s="239"/>
      <c r="B229" s="225"/>
      <c r="C229" s="36" t="s">
        <v>85</v>
      </c>
      <c r="D229" s="36" t="s">
        <v>86</v>
      </c>
      <c r="E229" s="37">
        <v>1</v>
      </c>
      <c r="F229" s="31">
        <v>3.7905000000000002</v>
      </c>
      <c r="G229" s="34">
        <f t="shared" si="3"/>
        <v>3.7905000000000002</v>
      </c>
      <c r="H229" s="39">
        <f>SUM(G229:G229)</f>
        <v>3.7905000000000002</v>
      </c>
      <c r="I229" s="40"/>
      <c r="J229" s="156">
        <v>0</v>
      </c>
    </row>
    <row r="230" spans="1:10" ht="15.75" hidden="1" thickBot="1" x14ac:dyDescent="0.3">
      <c r="A230" s="239"/>
      <c r="B230" s="225"/>
      <c r="C230" s="36"/>
      <c r="D230" s="36"/>
      <c r="E230" s="37"/>
      <c r="F230" s="31" t="s">
        <v>572</v>
      </c>
      <c r="G230" s="31" t="str">
        <f t="shared" si="3"/>
        <v/>
      </c>
      <c r="H230" s="35"/>
      <c r="I230" s="31"/>
      <c r="J230" s="156">
        <v>0</v>
      </c>
    </row>
    <row r="231" spans="1:10" ht="15.75" hidden="1" thickBot="1" x14ac:dyDescent="0.3">
      <c r="A231" s="221" t="s">
        <v>87</v>
      </c>
      <c r="B231" s="224" t="str">
        <f>INDEX(Orçamentária!A:B,MATCH(Composições!A231,Orçamentária!A:A,0),2)</f>
        <v>Andaime tubular (aluguel/mês)</v>
      </c>
      <c r="C231" s="41"/>
      <c r="D231" s="26" t="str">
        <f>TRIM(INDEX(Orçamentária!C:C,MATCH(Composições!A231,Orçamentária!A:A,0),1))</f>
        <v>m x mês</v>
      </c>
      <c r="E231" s="27"/>
      <c r="F231" s="42" t="s">
        <v>572</v>
      </c>
      <c r="G231" s="28" t="str">
        <f t="shared" si="3"/>
        <v/>
      </c>
      <c r="H231" s="29"/>
      <c r="I231" s="30"/>
      <c r="J231" s="156">
        <v>0</v>
      </c>
    </row>
    <row r="232" spans="1:10" ht="15.75" hidden="1" thickBot="1" x14ac:dyDescent="0.3">
      <c r="A232" s="222"/>
      <c r="B232" s="225"/>
      <c r="C232" s="32"/>
      <c r="D232" s="32"/>
      <c r="E232" s="33"/>
      <c r="F232" s="43" t="s">
        <v>572</v>
      </c>
      <c r="G232" s="31" t="str">
        <f t="shared" si="3"/>
        <v/>
      </c>
      <c r="H232" s="35"/>
      <c r="I232" s="31"/>
      <c r="J232" s="156">
        <v>0</v>
      </c>
    </row>
    <row r="233" spans="1:10" ht="26.25" hidden="1" thickBot="1" x14ac:dyDescent="0.3">
      <c r="A233" s="222"/>
      <c r="B233" s="225"/>
      <c r="C233" s="36" t="s">
        <v>88</v>
      </c>
      <c r="D233" s="47" t="s">
        <v>89</v>
      </c>
      <c r="E233" s="37">
        <v>1</v>
      </c>
      <c r="F233" s="31">
        <v>11.399999999999999</v>
      </c>
      <c r="G233" s="31">
        <f t="shared" si="3"/>
        <v>11.399999999999999</v>
      </c>
      <c r="H233" s="39">
        <f>SUM(G233:G233)</f>
        <v>11.399999999999999</v>
      </c>
      <c r="I233" s="40"/>
      <c r="J233" s="156">
        <v>0</v>
      </c>
    </row>
    <row r="234" spans="1:10" ht="15.75" hidden="1" thickBot="1" x14ac:dyDescent="0.3">
      <c r="A234" s="223"/>
      <c r="B234" s="226"/>
      <c r="C234" s="36"/>
      <c r="D234" s="36"/>
      <c r="E234" s="37"/>
      <c r="F234" s="31" t="s">
        <v>572</v>
      </c>
      <c r="G234" s="31" t="str">
        <f t="shared" si="3"/>
        <v/>
      </c>
      <c r="H234" s="35"/>
      <c r="I234" s="31"/>
      <c r="J234" s="156">
        <v>0</v>
      </c>
    </row>
    <row r="235" spans="1:10" ht="15.75" hidden="1" thickBot="1" x14ac:dyDescent="0.3">
      <c r="A235" s="238" t="s">
        <v>90</v>
      </c>
      <c r="B235" s="224" t="str">
        <f>INDEX(Orçamentária!A:B,MATCH(Composições!A235,Orçamentária!A:A,0),2)</f>
        <v>Corda de poliamida 12 mm tipo bombeiro, para trabalho em altura</v>
      </c>
      <c r="C235" s="41"/>
      <c r="D235" s="26" t="str">
        <f>TRIM(INDEX(Orçamentária!C:C,MATCH(Composições!A235,Orçamentária!A:A,0),1))</f>
        <v>m</v>
      </c>
      <c r="E235" s="27"/>
      <c r="F235" s="42" t="s">
        <v>572</v>
      </c>
      <c r="G235" s="28" t="str">
        <f t="shared" si="3"/>
        <v/>
      </c>
      <c r="H235" s="29"/>
      <c r="I235" s="30"/>
      <c r="J235" s="156">
        <v>0</v>
      </c>
    </row>
    <row r="236" spans="1:10" ht="15.75" hidden="1" thickBot="1" x14ac:dyDescent="0.3">
      <c r="A236" s="239"/>
      <c r="B236" s="225"/>
      <c r="C236" s="32"/>
      <c r="D236" s="32"/>
      <c r="E236" s="33"/>
      <c r="F236" s="43" t="s">
        <v>572</v>
      </c>
      <c r="G236" s="31" t="str">
        <f t="shared" si="3"/>
        <v/>
      </c>
      <c r="H236" s="35"/>
      <c r="I236" s="31"/>
      <c r="J236" s="156">
        <v>0</v>
      </c>
    </row>
    <row r="237" spans="1:10" ht="26.25" hidden="1" thickBot="1" x14ac:dyDescent="0.3">
      <c r="A237" s="239"/>
      <c r="B237" s="225"/>
      <c r="C237" s="36" t="s">
        <v>91</v>
      </c>
      <c r="D237" s="36" t="s">
        <v>92</v>
      </c>
      <c r="E237" s="37">
        <v>0.01</v>
      </c>
      <c r="F237" s="31">
        <v>491.44449999999995</v>
      </c>
      <c r="G237" s="34">
        <f t="shared" si="3"/>
        <v>4.9144449999999997</v>
      </c>
      <c r="H237" s="39">
        <f>SUM(G237:G237)</f>
        <v>4.9144449999999997</v>
      </c>
      <c r="I237" s="40"/>
      <c r="J237" s="156">
        <v>0</v>
      </c>
    </row>
    <row r="238" spans="1:10" ht="15.75" hidden="1" thickBot="1" x14ac:dyDescent="0.3">
      <c r="A238" s="239"/>
      <c r="B238" s="225"/>
      <c r="C238" s="36"/>
      <c r="D238" s="36"/>
      <c r="E238" s="37"/>
      <c r="F238" s="31" t="s">
        <v>572</v>
      </c>
      <c r="G238" s="31" t="str">
        <f t="shared" si="3"/>
        <v/>
      </c>
      <c r="H238" s="35"/>
      <c r="I238" s="31"/>
      <c r="J238" s="156">
        <v>0</v>
      </c>
    </row>
    <row r="239" spans="1:10" ht="15.75" hidden="1" thickBot="1" x14ac:dyDescent="0.3">
      <c r="A239" s="221" t="s">
        <v>93</v>
      </c>
      <c r="B239" s="224" t="str">
        <f>INDEX(Orçamentária!A:B,MATCH(Composições!A239,Orçamentária!A:A,0),2)</f>
        <v>Isolamento de obra com tela plástica com malha de 5mm e estrutura de madeira pontaleteada</v>
      </c>
      <c r="C239" s="41"/>
      <c r="D239" s="26" t="str">
        <f>TRIM(INDEX(Orçamentária!C:C,MATCH(Composições!A239,Orçamentária!A:A,0),1))</f>
        <v>m2</v>
      </c>
      <c r="E239" s="27"/>
      <c r="F239" s="49" t="s">
        <v>572</v>
      </c>
      <c r="G239" s="28" t="str">
        <f t="shared" si="3"/>
        <v/>
      </c>
      <c r="H239" s="29"/>
      <c r="I239" s="30"/>
      <c r="J239" s="156">
        <v>0</v>
      </c>
    </row>
    <row r="240" spans="1:10" ht="15.75" hidden="1" thickBot="1" x14ac:dyDescent="0.3">
      <c r="A240" s="222"/>
      <c r="B240" s="225"/>
      <c r="C240" s="32"/>
      <c r="D240" s="32"/>
      <c r="E240" s="33"/>
      <c r="F240" s="31" t="s">
        <v>572</v>
      </c>
      <c r="G240" s="31" t="str">
        <f t="shared" si="3"/>
        <v/>
      </c>
      <c r="H240" s="35"/>
      <c r="I240" s="31"/>
      <c r="J240" s="156">
        <v>0</v>
      </c>
    </row>
    <row r="241" spans="1:10" ht="15.75" hidden="1" thickBot="1" x14ac:dyDescent="0.3">
      <c r="A241" s="222"/>
      <c r="B241" s="225"/>
      <c r="C241" s="36" t="s">
        <v>23</v>
      </c>
      <c r="D241" s="36" t="s">
        <v>12</v>
      </c>
      <c r="E241" s="37">
        <v>0.15</v>
      </c>
      <c r="F241" s="31">
        <v>16.311500000000002</v>
      </c>
      <c r="G241" s="31">
        <f t="shared" si="3"/>
        <v>2.4467250000000003</v>
      </c>
      <c r="H241" s="39">
        <f>SUM(G241:G245)</f>
        <v>21.45195</v>
      </c>
      <c r="I241" s="40"/>
      <c r="J241" s="156">
        <v>0</v>
      </c>
    </row>
    <row r="242" spans="1:10" ht="15.75" hidden="1" thickBot="1" x14ac:dyDescent="0.3">
      <c r="A242" s="222"/>
      <c r="B242" s="225"/>
      <c r="C242" s="36" t="s">
        <v>78</v>
      </c>
      <c r="D242" s="36" t="s">
        <v>12</v>
      </c>
      <c r="E242" s="37">
        <v>0.3</v>
      </c>
      <c r="F242" s="31">
        <v>21.878499999999999</v>
      </c>
      <c r="G242" s="31">
        <f t="shared" si="3"/>
        <v>6.5635499999999993</v>
      </c>
      <c r="H242" s="35"/>
      <c r="I242" s="31"/>
      <c r="J242" s="156">
        <v>0</v>
      </c>
    </row>
    <row r="243" spans="1:10" ht="26.25" hidden="1" thickBot="1" x14ac:dyDescent="0.3">
      <c r="A243" s="222"/>
      <c r="B243" s="225"/>
      <c r="C243" s="36" t="s">
        <v>3790</v>
      </c>
      <c r="D243" s="36" t="s">
        <v>94</v>
      </c>
      <c r="E243" s="37">
        <v>1.5</v>
      </c>
      <c r="F243" s="34">
        <v>5.6905000000000001</v>
      </c>
      <c r="G243" s="31">
        <f t="shared" si="3"/>
        <v>8.5357500000000002</v>
      </c>
      <c r="H243" s="35"/>
      <c r="I243" s="31"/>
      <c r="J243" s="156">
        <v>0</v>
      </c>
    </row>
    <row r="244" spans="1:10" ht="15.75" hidden="1" thickBot="1" x14ac:dyDescent="0.3">
      <c r="A244" s="222"/>
      <c r="B244" s="225"/>
      <c r="C244" s="36" t="s">
        <v>95</v>
      </c>
      <c r="D244" s="36" t="s">
        <v>42</v>
      </c>
      <c r="E244" s="37">
        <v>0.1</v>
      </c>
      <c r="F244" s="34">
        <v>17.099999999999998</v>
      </c>
      <c r="G244" s="31">
        <f t="shared" si="3"/>
        <v>1.71</v>
      </c>
      <c r="H244" s="35"/>
      <c r="I244" s="31"/>
      <c r="J244" s="156">
        <v>0</v>
      </c>
    </row>
    <row r="245" spans="1:10" ht="26.25" hidden="1" thickBot="1" x14ac:dyDescent="0.3">
      <c r="A245" s="222"/>
      <c r="B245" s="225"/>
      <c r="C245" s="36" t="s">
        <v>3480</v>
      </c>
      <c r="D245" s="36" t="s">
        <v>94</v>
      </c>
      <c r="E245" s="37">
        <v>1.1499999999999999</v>
      </c>
      <c r="F245" s="34">
        <v>1.9094999999999998</v>
      </c>
      <c r="G245" s="31">
        <f t="shared" si="3"/>
        <v>2.1959249999999995</v>
      </c>
      <c r="H245" s="35"/>
      <c r="I245" s="31"/>
      <c r="J245" s="156">
        <v>0</v>
      </c>
    </row>
    <row r="246" spans="1:10" ht="15.75" hidden="1" thickBot="1" x14ac:dyDescent="0.3">
      <c r="A246" s="223"/>
      <c r="B246" s="226"/>
      <c r="C246" s="36"/>
      <c r="D246" s="36"/>
      <c r="E246" s="37"/>
      <c r="F246" s="31" t="s">
        <v>572</v>
      </c>
      <c r="G246" s="31" t="str">
        <f t="shared" si="3"/>
        <v/>
      </c>
      <c r="H246" s="35"/>
      <c r="I246" s="31"/>
      <c r="J246" s="156">
        <v>0</v>
      </c>
    </row>
    <row r="247" spans="1:10" ht="15.75" hidden="1" thickBot="1" x14ac:dyDescent="0.3">
      <c r="A247" s="221" t="s">
        <v>97</v>
      </c>
      <c r="B247" s="224" t="str">
        <f>INDEX(Orçamentária!A:B,MATCH(Composições!A247,Orçamentária!A:A,0),2)</f>
        <v>Tapume</v>
      </c>
      <c r="C247" s="41"/>
      <c r="D247" s="26" t="str">
        <f>TRIM(INDEX(Orçamentária!C:C,MATCH(Composições!A247,Orçamentária!A:A,0),1))</f>
        <v>m2</v>
      </c>
      <c r="E247" s="27"/>
      <c r="F247" s="42" t="s">
        <v>572</v>
      </c>
      <c r="G247" s="28" t="str">
        <f t="shared" si="3"/>
        <v/>
      </c>
      <c r="H247" s="29"/>
      <c r="I247" s="30"/>
      <c r="J247" s="156">
        <v>0</v>
      </c>
    </row>
    <row r="248" spans="1:10" ht="15.75" hidden="1" thickBot="1" x14ac:dyDescent="0.3">
      <c r="A248" s="222"/>
      <c r="B248" s="225"/>
      <c r="C248" s="32"/>
      <c r="D248" s="32"/>
      <c r="E248" s="33"/>
      <c r="F248" s="43" t="s">
        <v>572</v>
      </c>
      <c r="G248" s="31" t="str">
        <f t="shared" si="3"/>
        <v/>
      </c>
      <c r="H248" s="35"/>
      <c r="I248" s="31"/>
      <c r="J248" s="156">
        <v>0</v>
      </c>
    </row>
    <row r="249" spans="1:10" ht="15.75" hidden="1" thickBot="1" x14ac:dyDescent="0.3">
      <c r="A249" s="222"/>
      <c r="B249" s="225"/>
      <c r="C249" s="36" t="s">
        <v>78</v>
      </c>
      <c r="D249" s="36" t="s">
        <v>12</v>
      </c>
      <c r="E249" s="37">
        <v>0.4</v>
      </c>
      <c r="F249" s="31">
        <v>21.878499999999999</v>
      </c>
      <c r="G249" s="31">
        <f t="shared" si="3"/>
        <v>8.7514000000000003</v>
      </c>
      <c r="H249" s="39">
        <f>SUM(G249:G260)</f>
        <v>58.946298249999991</v>
      </c>
      <c r="I249" s="40"/>
      <c r="J249" s="156">
        <v>0</v>
      </c>
    </row>
    <row r="250" spans="1:10" ht="15.75" hidden="1" thickBot="1" x14ac:dyDescent="0.3">
      <c r="A250" s="222"/>
      <c r="B250" s="225"/>
      <c r="C250" s="36" t="s">
        <v>23</v>
      </c>
      <c r="D250" s="36" t="s">
        <v>12</v>
      </c>
      <c r="E250" s="37">
        <v>0.4</v>
      </c>
      <c r="F250" s="31">
        <v>16.311500000000002</v>
      </c>
      <c r="G250" s="31">
        <f t="shared" si="3"/>
        <v>6.5246000000000013</v>
      </c>
      <c r="H250" s="35"/>
      <c r="I250" s="31"/>
      <c r="J250" s="156">
        <v>0</v>
      </c>
    </row>
    <row r="251" spans="1:10" ht="15.75" hidden="1" thickBot="1" x14ac:dyDescent="0.3">
      <c r="A251" s="222"/>
      <c r="B251" s="225"/>
      <c r="C251" s="36" t="s">
        <v>98</v>
      </c>
      <c r="D251" s="36" t="s">
        <v>96</v>
      </c>
      <c r="E251" s="37">
        <v>1.1000000000000001</v>
      </c>
      <c r="F251" s="31">
        <v>0</v>
      </c>
      <c r="G251" s="31">
        <f t="shared" si="3"/>
        <v>0</v>
      </c>
      <c r="H251" s="35"/>
      <c r="I251" s="31"/>
      <c r="J251" s="156">
        <v>0</v>
      </c>
    </row>
    <row r="252" spans="1:10" ht="26.25" hidden="1" thickBot="1" x14ac:dyDescent="0.3">
      <c r="A252" s="222"/>
      <c r="B252" s="225"/>
      <c r="C252" s="36" t="s">
        <v>3790</v>
      </c>
      <c r="D252" s="36" t="s">
        <v>94</v>
      </c>
      <c r="E252" s="37">
        <v>1.6</v>
      </c>
      <c r="F252" s="34">
        <v>5.6905000000000001</v>
      </c>
      <c r="G252" s="31">
        <f t="shared" si="3"/>
        <v>9.1048000000000009</v>
      </c>
      <c r="H252" s="35"/>
      <c r="I252" s="31"/>
      <c r="J252" s="156">
        <v>0</v>
      </c>
    </row>
    <row r="253" spans="1:10" ht="26.25" hidden="1" thickBot="1" x14ac:dyDescent="0.3">
      <c r="A253" s="222"/>
      <c r="B253" s="225"/>
      <c r="C253" s="36" t="s">
        <v>99</v>
      </c>
      <c r="D253" s="36" t="s">
        <v>94</v>
      </c>
      <c r="E253" s="37">
        <v>1.65</v>
      </c>
      <c r="F253" s="34">
        <v>7.3055000000000003</v>
      </c>
      <c r="G253" s="31">
        <f t="shared" si="3"/>
        <v>12.054074999999999</v>
      </c>
      <c r="H253" s="35"/>
      <c r="I253" s="31"/>
      <c r="J253" s="156">
        <v>0</v>
      </c>
    </row>
    <row r="254" spans="1:10" ht="26.25" hidden="1" thickBot="1" x14ac:dyDescent="0.3">
      <c r="A254" s="222"/>
      <c r="B254" s="225"/>
      <c r="C254" s="36" t="s">
        <v>100</v>
      </c>
      <c r="D254" s="36" t="s">
        <v>94</v>
      </c>
      <c r="E254" s="37">
        <v>0.5</v>
      </c>
      <c r="F254" s="34">
        <v>21.355999999999998</v>
      </c>
      <c r="G254" s="31">
        <f t="shared" si="3"/>
        <v>10.677999999999999</v>
      </c>
      <c r="H254" s="35"/>
      <c r="I254" s="31"/>
      <c r="J254" s="156">
        <v>0</v>
      </c>
    </row>
    <row r="255" spans="1:10" ht="15.75" hidden="1" thickBot="1" x14ac:dyDescent="0.3">
      <c r="A255" s="222"/>
      <c r="B255" s="225"/>
      <c r="C255" s="36" t="s">
        <v>101</v>
      </c>
      <c r="D255" s="36" t="s">
        <v>42</v>
      </c>
      <c r="E255" s="37">
        <v>0.1</v>
      </c>
      <c r="F255" s="34">
        <v>17.394499999999997</v>
      </c>
      <c r="G255" s="31">
        <f t="shared" si="3"/>
        <v>1.7394499999999997</v>
      </c>
      <c r="H255" s="35"/>
      <c r="I255" s="31"/>
      <c r="J255" s="156">
        <v>0</v>
      </c>
    </row>
    <row r="256" spans="1:10" ht="15.75" hidden="1" thickBot="1" x14ac:dyDescent="0.3">
      <c r="A256" s="222"/>
      <c r="B256" s="225"/>
      <c r="C256" s="36" t="s">
        <v>102</v>
      </c>
      <c r="D256" s="36" t="s">
        <v>12</v>
      </c>
      <c r="E256" s="37">
        <v>1.5E-3</v>
      </c>
      <c r="F256" s="34">
        <v>18.515499999999999</v>
      </c>
      <c r="G256" s="31">
        <f t="shared" si="3"/>
        <v>2.7773249999999999E-2</v>
      </c>
      <c r="H256" s="35"/>
      <c r="I256" s="31"/>
      <c r="J256" s="156">
        <v>0</v>
      </c>
    </row>
    <row r="257" spans="1:10" ht="15.75" hidden="1" thickBot="1" x14ac:dyDescent="0.3">
      <c r="A257" s="222"/>
      <c r="B257" s="225"/>
      <c r="C257" s="36" t="s">
        <v>103</v>
      </c>
      <c r="D257" s="36" t="s">
        <v>12</v>
      </c>
      <c r="E257" s="37">
        <v>0.4</v>
      </c>
      <c r="F257" s="34">
        <v>23.027999999999999</v>
      </c>
      <c r="G257" s="31">
        <f t="shared" si="3"/>
        <v>9.2111999999999998</v>
      </c>
      <c r="H257" s="35"/>
      <c r="I257" s="31"/>
      <c r="J257" s="156">
        <v>0</v>
      </c>
    </row>
    <row r="258" spans="1:10" ht="15.75" hidden="1" thickBot="1" x14ac:dyDescent="0.3">
      <c r="A258" s="222"/>
      <c r="B258" s="225"/>
      <c r="C258" s="36" t="s">
        <v>104</v>
      </c>
      <c r="D258" s="36" t="s">
        <v>105</v>
      </c>
      <c r="E258" s="37">
        <v>2.2499999999999999E-2</v>
      </c>
      <c r="F258" s="34" t="s">
        <v>572</v>
      </c>
      <c r="G258" s="31" t="str">
        <f t="shared" si="3"/>
        <v/>
      </c>
      <c r="H258" s="35"/>
      <c r="I258" s="31"/>
      <c r="J258" s="156">
        <v>0</v>
      </c>
    </row>
    <row r="259" spans="1:10" ht="15.75" hidden="1" thickBot="1" x14ac:dyDescent="0.3">
      <c r="A259" s="222"/>
      <c r="B259" s="225"/>
      <c r="C259" s="36" t="s">
        <v>106</v>
      </c>
      <c r="D259" s="36" t="s">
        <v>42</v>
      </c>
      <c r="E259" s="37">
        <v>0.6</v>
      </c>
      <c r="F259" s="34">
        <v>1.4249999999999998</v>
      </c>
      <c r="G259" s="31">
        <f t="shared" si="3"/>
        <v>0.85499999999999987</v>
      </c>
      <c r="H259" s="35"/>
      <c r="I259" s="31"/>
      <c r="J259" s="156">
        <v>0</v>
      </c>
    </row>
    <row r="260" spans="1:10" ht="15.75" hidden="1" thickBot="1" x14ac:dyDescent="0.3">
      <c r="A260" s="222"/>
      <c r="B260" s="225"/>
      <c r="C260" s="36" t="s">
        <v>107</v>
      </c>
      <c r="D260" s="36" t="s">
        <v>42</v>
      </c>
      <c r="E260" s="37">
        <v>1.4999999999999999E-2</v>
      </c>
      <c r="F260" s="34" t="s">
        <v>572</v>
      </c>
      <c r="G260" s="31" t="str">
        <f t="shared" si="3"/>
        <v/>
      </c>
      <c r="H260" s="35"/>
      <c r="I260" s="31"/>
      <c r="J260" s="156">
        <v>0</v>
      </c>
    </row>
    <row r="261" spans="1:10" ht="15.75" hidden="1" thickBot="1" x14ac:dyDescent="0.3">
      <c r="A261" s="223"/>
      <c r="B261" s="226"/>
      <c r="C261" s="36"/>
      <c r="D261" s="36"/>
      <c r="E261" s="37"/>
      <c r="F261" s="31" t="s">
        <v>572</v>
      </c>
      <c r="G261" s="31" t="str">
        <f t="shared" si="3"/>
        <v/>
      </c>
      <c r="H261" s="35"/>
      <c r="I261" s="31"/>
      <c r="J261" s="156">
        <v>0</v>
      </c>
    </row>
    <row r="262" spans="1:10" ht="15.75" thickBot="1" x14ac:dyDescent="0.3">
      <c r="A262" s="221" t="s">
        <v>108</v>
      </c>
      <c r="B262" s="224" t="str">
        <f>INDEX(Orçamentária!A:B,MATCH(Composições!A262,Orçamentária!A:A,0),2)</f>
        <v>Limpeza final de obra</v>
      </c>
      <c r="C262" s="41"/>
      <c r="D262" s="26" t="str">
        <f>TRIM(INDEX(Orçamentária!C:C,MATCH(Composições!A262,Orçamentária!A:A,0),1))</f>
        <v>m2</v>
      </c>
      <c r="E262" s="27"/>
      <c r="F262" s="42" t="s">
        <v>572</v>
      </c>
      <c r="G262" s="28" t="str">
        <f t="shared" ref="G262:G325" si="4">IF(ISNUMBER(F262),E262*F262,"")</f>
        <v/>
      </c>
      <c r="H262" s="29"/>
      <c r="I262" s="30"/>
      <c r="J262" s="156">
        <v>201.4</v>
      </c>
    </row>
    <row r="263" spans="1:10" x14ac:dyDescent="0.25">
      <c r="A263" s="222"/>
      <c r="B263" s="225"/>
      <c r="C263" s="32"/>
      <c r="D263" s="32"/>
      <c r="E263" s="33"/>
      <c r="F263" s="43" t="s">
        <v>572</v>
      </c>
      <c r="G263" s="31" t="str">
        <f t="shared" si="4"/>
        <v/>
      </c>
      <c r="H263" s="35"/>
      <c r="I263" s="31"/>
      <c r="J263" s="156">
        <v>201.4</v>
      </c>
    </row>
    <row r="264" spans="1:10" x14ac:dyDescent="0.25">
      <c r="A264" s="222"/>
      <c r="B264" s="225"/>
      <c r="C264" s="36" t="s">
        <v>23</v>
      </c>
      <c r="D264" s="50" t="s">
        <v>12</v>
      </c>
      <c r="E264" s="37">
        <v>2.5000000000000001E-2</v>
      </c>
      <c r="F264" s="31">
        <v>16.311500000000002</v>
      </c>
      <c r="G264" s="31">
        <f t="shared" si="4"/>
        <v>0.40778750000000008</v>
      </c>
      <c r="H264" s="39">
        <f>SUM(G264:G265)</f>
        <v>1.9900030000000002</v>
      </c>
      <c r="I264" s="40"/>
      <c r="J264" s="156">
        <v>201.4</v>
      </c>
    </row>
    <row r="265" spans="1:10" x14ac:dyDescent="0.25">
      <c r="A265" s="222"/>
      <c r="B265" s="225"/>
      <c r="C265" s="36" t="s">
        <v>23</v>
      </c>
      <c r="D265" s="50" t="s">
        <v>12</v>
      </c>
      <c r="E265" s="37">
        <v>9.7000000000000003E-2</v>
      </c>
      <c r="F265" s="31">
        <v>16.311500000000002</v>
      </c>
      <c r="G265" s="31">
        <f t="shared" si="4"/>
        <v>1.5822155000000002</v>
      </c>
      <c r="H265" s="35"/>
      <c r="I265" s="40"/>
      <c r="J265" s="156">
        <v>201.4</v>
      </c>
    </row>
    <row r="266" spans="1:10" ht="15.75" thickBot="1" x14ac:dyDescent="0.3">
      <c r="A266" s="223"/>
      <c r="B266" s="226"/>
      <c r="C266" s="36"/>
      <c r="D266" s="36"/>
      <c r="E266" s="37"/>
      <c r="F266" s="31" t="s">
        <v>572</v>
      </c>
      <c r="G266" s="31" t="str">
        <f t="shared" si="4"/>
        <v/>
      </c>
      <c r="H266" s="35"/>
      <c r="I266" s="31"/>
      <c r="J266" s="156">
        <v>201.4</v>
      </c>
    </row>
    <row r="267" spans="1:10" ht="15.75" hidden="1" thickBot="1" x14ac:dyDescent="0.3">
      <c r="A267" s="221" t="s">
        <v>109</v>
      </c>
      <c r="B267" s="224" t="str">
        <f>INDEX(Orçamentária!A:B,MATCH(Composições!A267,Orçamentária!A:A,0),2)</f>
        <v>Abertura/fechamento rasgo em alvenaria</v>
      </c>
      <c r="C267" s="41"/>
      <c r="D267" s="26" t="str">
        <f>TRIM(INDEX(Orçamentária!C:C,MATCH(Composições!A267,Orçamentária!A:A,0),1))</f>
        <v>m</v>
      </c>
      <c r="E267" s="27"/>
      <c r="F267" s="42" t="s">
        <v>572</v>
      </c>
      <c r="G267" s="28" t="str">
        <f t="shared" si="4"/>
        <v/>
      </c>
      <c r="H267" s="29"/>
      <c r="I267" s="30"/>
      <c r="J267" s="156">
        <v>0</v>
      </c>
    </row>
    <row r="268" spans="1:10" ht="15.75" hidden="1" thickBot="1" x14ac:dyDescent="0.3">
      <c r="A268" s="222"/>
      <c r="B268" s="225"/>
      <c r="C268" s="32"/>
      <c r="D268" s="32"/>
      <c r="E268" s="33"/>
      <c r="F268" s="43" t="s">
        <v>572</v>
      </c>
      <c r="G268" s="31" t="str">
        <f t="shared" si="4"/>
        <v/>
      </c>
      <c r="H268" s="35"/>
      <c r="I268" s="31"/>
      <c r="J268" s="156">
        <v>0</v>
      </c>
    </row>
    <row r="269" spans="1:10" ht="15.75" hidden="1" thickBot="1" x14ac:dyDescent="0.3">
      <c r="A269" s="222"/>
      <c r="B269" s="225"/>
      <c r="C269" s="36" t="s">
        <v>74</v>
      </c>
      <c r="D269" s="36" t="s">
        <v>12</v>
      </c>
      <c r="E269" s="37">
        <v>3.4000000000000002E-2</v>
      </c>
      <c r="F269" s="31">
        <v>17.366</v>
      </c>
      <c r="G269" s="31">
        <f t="shared" si="4"/>
        <v>0.59044400000000008</v>
      </c>
      <c r="H269" s="39">
        <f>SUM(G269:G273)</f>
        <v>16.317289953847002</v>
      </c>
      <c r="I269" s="40"/>
      <c r="J269" s="156">
        <v>0</v>
      </c>
    </row>
    <row r="270" spans="1:10" ht="15.75" hidden="1" thickBot="1" x14ac:dyDescent="0.3">
      <c r="A270" s="222"/>
      <c r="B270" s="225"/>
      <c r="C270" s="36" t="s">
        <v>30</v>
      </c>
      <c r="D270" s="36" t="s">
        <v>12</v>
      </c>
      <c r="E270" s="37">
        <v>0.216</v>
      </c>
      <c r="F270" s="31">
        <v>22.268000000000001</v>
      </c>
      <c r="G270" s="31">
        <f t="shared" si="4"/>
        <v>4.8098879999999999</v>
      </c>
      <c r="H270" s="35"/>
      <c r="I270" s="31"/>
      <c r="J270" s="156">
        <v>0</v>
      </c>
    </row>
    <row r="271" spans="1:10" ht="26.25" hidden="1" thickBot="1" x14ac:dyDescent="0.3">
      <c r="A271" s="222"/>
      <c r="B271" s="225"/>
      <c r="C271" s="36" t="s">
        <v>110</v>
      </c>
      <c r="D271" s="36" t="s">
        <v>12</v>
      </c>
      <c r="E271" s="37">
        <v>5.5E-2</v>
      </c>
      <c r="F271" s="31">
        <v>16.891000000000002</v>
      </c>
      <c r="G271" s="31">
        <f t="shared" si="4"/>
        <v>0.92900500000000008</v>
      </c>
      <c r="H271" s="35"/>
      <c r="I271" s="31"/>
      <c r="J271" s="156">
        <v>0</v>
      </c>
    </row>
    <row r="272" spans="1:10" ht="15.75" hidden="1" thickBot="1" x14ac:dyDescent="0.3">
      <c r="A272" s="222"/>
      <c r="B272" s="225"/>
      <c r="C272" s="36" t="s">
        <v>39</v>
      </c>
      <c r="D272" s="47" t="s">
        <v>12</v>
      </c>
      <c r="E272" s="37">
        <v>0.39100000000000001</v>
      </c>
      <c r="F272" s="31">
        <v>21.622</v>
      </c>
      <c r="G272" s="31">
        <f t="shared" si="4"/>
        <v>8.4542020000000004</v>
      </c>
      <c r="H272" s="35"/>
      <c r="I272" s="31"/>
      <c r="J272" s="156">
        <v>0</v>
      </c>
    </row>
    <row r="273" spans="1:10" ht="26.25" hidden="1" thickBot="1" x14ac:dyDescent="0.3">
      <c r="A273" s="222"/>
      <c r="B273" s="225"/>
      <c r="C273" s="36" t="s">
        <v>111</v>
      </c>
      <c r="D273" s="36" t="s">
        <v>112</v>
      </c>
      <c r="E273" s="37">
        <v>3.0000000000000001E-3</v>
      </c>
      <c r="F273" s="34">
        <v>511.25031794899996</v>
      </c>
      <c r="G273" s="34">
        <f t="shared" si="4"/>
        <v>1.533750953847</v>
      </c>
      <c r="H273" s="35"/>
      <c r="I273" s="31"/>
      <c r="J273" s="156">
        <v>0</v>
      </c>
    </row>
    <row r="274" spans="1:10" ht="15.75" hidden="1" thickBot="1" x14ac:dyDescent="0.3">
      <c r="A274" s="223"/>
      <c r="B274" s="226"/>
      <c r="C274" s="36"/>
      <c r="D274" s="36"/>
      <c r="E274" s="37"/>
      <c r="F274" s="31" t="s">
        <v>572</v>
      </c>
      <c r="G274" s="31" t="str">
        <f t="shared" si="4"/>
        <v/>
      </c>
      <c r="H274" s="35"/>
      <c r="I274" s="31"/>
      <c r="J274" s="156">
        <v>0</v>
      </c>
    </row>
    <row r="275" spans="1:10" ht="15.75" hidden="1" thickBot="1" x14ac:dyDescent="0.3">
      <c r="A275" s="221" t="s">
        <v>113</v>
      </c>
      <c r="B275" s="224" t="str">
        <f>INDEX(Orçamentária!A:B,MATCH(Composições!A275,Orçamentária!A:A,0),2)</f>
        <v>Furo em concreto de até 75mm de diâmetro</v>
      </c>
      <c r="C275" s="41"/>
      <c r="D275" s="26" t="str">
        <f>TRIM(INDEX(Orçamentária!C:C,MATCH(Composições!A275,Orçamentária!A:A,0),1))</f>
        <v>un</v>
      </c>
      <c r="E275" s="27"/>
      <c r="F275" s="42" t="s">
        <v>572</v>
      </c>
      <c r="G275" s="28" t="str">
        <f t="shared" si="4"/>
        <v/>
      </c>
      <c r="H275" s="29"/>
      <c r="I275" s="30"/>
      <c r="J275" s="156">
        <v>0</v>
      </c>
    </row>
    <row r="276" spans="1:10" ht="15.75" hidden="1" thickBot="1" x14ac:dyDescent="0.3">
      <c r="A276" s="222"/>
      <c r="B276" s="225"/>
      <c r="C276" s="32"/>
      <c r="D276" s="32"/>
      <c r="E276" s="33"/>
      <c r="F276" s="43" t="s">
        <v>572</v>
      </c>
      <c r="G276" s="31" t="str">
        <f t="shared" si="4"/>
        <v/>
      </c>
      <c r="H276" s="35"/>
      <c r="I276" s="31"/>
      <c r="J276" s="156">
        <v>0</v>
      </c>
    </row>
    <row r="277" spans="1:10" ht="26.25" hidden="1" thickBot="1" x14ac:dyDescent="0.3">
      <c r="A277" s="222"/>
      <c r="B277" s="225"/>
      <c r="C277" s="36" t="s">
        <v>32</v>
      </c>
      <c r="D277" s="36" t="s">
        <v>33</v>
      </c>
      <c r="E277" s="37">
        <v>0.58699999999999997</v>
      </c>
      <c r="F277" s="34">
        <v>20.253999999999998</v>
      </c>
      <c r="G277" s="34">
        <f t="shared" si="4"/>
        <v>11.889097999999999</v>
      </c>
      <c r="H277" s="39">
        <f>SUM(G277:G280)</f>
        <v>81.712064999999996</v>
      </c>
      <c r="I277" s="40"/>
      <c r="J277" s="156">
        <v>0</v>
      </c>
    </row>
    <row r="278" spans="1:10" ht="26.25" hidden="1" thickBot="1" x14ac:dyDescent="0.3">
      <c r="A278" s="222"/>
      <c r="B278" s="225"/>
      <c r="C278" s="36" t="s">
        <v>34</v>
      </c>
      <c r="D278" s="36" t="s">
        <v>35</v>
      </c>
      <c r="E278" s="37">
        <v>1.29</v>
      </c>
      <c r="F278" s="34">
        <v>18.829000000000001</v>
      </c>
      <c r="G278" s="34">
        <f t="shared" si="4"/>
        <v>24.28941</v>
      </c>
      <c r="H278" s="35"/>
      <c r="I278" s="31"/>
      <c r="J278" s="156">
        <v>0</v>
      </c>
    </row>
    <row r="279" spans="1:10" ht="26.25" hidden="1" thickBot="1" x14ac:dyDescent="0.3">
      <c r="A279" s="222"/>
      <c r="B279" s="225"/>
      <c r="C279" s="36" t="s">
        <v>110</v>
      </c>
      <c r="D279" s="36" t="s">
        <v>12</v>
      </c>
      <c r="E279" s="37">
        <v>0.29299999999999998</v>
      </c>
      <c r="F279" s="31">
        <v>16.891000000000002</v>
      </c>
      <c r="G279" s="34">
        <f t="shared" si="4"/>
        <v>4.9490630000000007</v>
      </c>
      <c r="H279" s="35"/>
      <c r="I279" s="31"/>
      <c r="J279" s="156">
        <v>0</v>
      </c>
    </row>
    <row r="280" spans="1:10" ht="15.75" hidden="1" thickBot="1" x14ac:dyDescent="0.3">
      <c r="A280" s="222"/>
      <c r="B280" s="225"/>
      <c r="C280" s="36" t="s">
        <v>39</v>
      </c>
      <c r="D280" s="47" t="s">
        <v>12</v>
      </c>
      <c r="E280" s="37">
        <v>1.877</v>
      </c>
      <c r="F280" s="31">
        <v>21.622</v>
      </c>
      <c r="G280" s="34">
        <f t="shared" si="4"/>
        <v>40.584493999999999</v>
      </c>
      <c r="H280" s="35"/>
      <c r="I280" s="31"/>
      <c r="J280" s="156">
        <v>0</v>
      </c>
    </row>
    <row r="281" spans="1:10" ht="15.75" hidden="1" thickBot="1" x14ac:dyDescent="0.3">
      <c r="A281" s="223"/>
      <c r="B281" s="226"/>
      <c r="C281" s="36"/>
      <c r="D281" s="36"/>
      <c r="E281" s="37"/>
      <c r="F281" s="31" t="s">
        <v>572</v>
      </c>
      <c r="G281" s="31" t="str">
        <f t="shared" si="4"/>
        <v/>
      </c>
      <c r="H281" s="35"/>
      <c r="I281" s="31"/>
      <c r="J281" s="156">
        <v>0</v>
      </c>
    </row>
    <row r="282" spans="1:10" ht="15.75" hidden="1" thickBot="1" x14ac:dyDescent="0.3">
      <c r="A282" s="221" t="s">
        <v>114</v>
      </c>
      <c r="B282" s="224" t="str">
        <f>INDEX(Orçamentária!A:B,MATCH(Composições!A282,Orçamentária!A:A,0),2)</f>
        <v>Furo em concreto para diâmetros maiores que 75mm</v>
      </c>
      <c r="C282" s="41"/>
      <c r="D282" s="26" t="str">
        <f>TRIM(INDEX(Orçamentária!C:C,MATCH(Composições!A282,Orçamentária!A:A,0),1))</f>
        <v>un</v>
      </c>
      <c r="E282" s="27"/>
      <c r="F282" s="42" t="s">
        <v>572</v>
      </c>
      <c r="G282" s="28" t="str">
        <f t="shared" si="4"/>
        <v/>
      </c>
      <c r="H282" s="29"/>
      <c r="I282" s="30"/>
      <c r="J282" s="156">
        <v>0</v>
      </c>
    </row>
    <row r="283" spans="1:10" ht="15.75" hidden="1" thickBot="1" x14ac:dyDescent="0.3">
      <c r="A283" s="222"/>
      <c r="B283" s="225"/>
      <c r="C283" s="32"/>
      <c r="D283" s="32"/>
      <c r="E283" s="33"/>
      <c r="F283" s="43" t="s">
        <v>572</v>
      </c>
      <c r="G283" s="31" t="str">
        <f t="shared" si="4"/>
        <v/>
      </c>
      <c r="H283" s="35"/>
      <c r="I283" s="31"/>
      <c r="J283" s="156">
        <v>0</v>
      </c>
    </row>
    <row r="284" spans="1:10" ht="26.25" hidden="1" thickBot="1" x14ac:dyDescent="0.3">
      <c r="A284" s="222"/>
      <c r="B284" s="225"/>
      <c r="C284" s="36" t="s">
        <v>32</v>
      </c>
      <c r="D284" s="36" t="s">
        <v>33</v>
      </c>
      <c r="E284" s="37">
        <v>0.75</v>
      </c>
      <c r="F284" s="34">
        <v>20.253999999999998</v>
      </c>
      <c r="G284" s="34">
        <f t="shared" si="4"/>
        <v>15.190499999999998</v>
      </c>
      <c r="H284" s="39">
        <f>SUM(G284:G287)</f>
        <v>104.363922</v>
      </c>
      <c r="I284" s="40"/>
      <c r="J284" s="156">
        <v>0</v>
      </c>
    </row>
    <row r="285" spans="1:10" ht="26.25" hidden="1" thickBot="1" x14ac:dyDescent="0.3">
      <c r="A285" s="222"/>
      <c r="B285" s="225"/>
      <c r="C285" s="36" t="s">
        <v>34</v>
      </c>
      <c r="D285" s="36" t="s">
        <v>35</v>
      </c>
      <c r="E285" s="37">
        <v>1.647</v>
      </c>
      <c r="F285" s="34">
        <v>18.829000000000001</v>
      </c>
      <c r="G285" s="34">
        <f t="shared" si="4"/>
        <v>31.011363000000003</v>
      </c>
      <c r="H285" s="35"/>
      <c r="I285" s="31"/>
      <c r="J285" s="156">
        <v>0</v>
      </c>
    </row>
    <row r="286" spans="1:10" ht="26.25" hidden="1" thickBot="1" x14ac:dyDescent="0.3">
      <c r="A286" s="222"/>
      <c r="B286" s="225"/>
      <c r="C286" s="36" t="s">
        <v>110</v>
      </c>
      <c r="D286" s="36" t="s">
        <v>12</v>
      </c>
      <c r="E286" s="37">
        <v>0.375</v>
      </c>
      <c r="F286" s="31">
        <v>16.891000000000002</v>
      </c>
      <c r="G286" s="34">
        <f t="shared" si="4"/>
        <v>6.3341250000000002</v>
      </c>
      <c r="H286" s="35"/>
      <c r="I286" s="31"/>
      <c r="J286" s="156">
        <v>0</v>
      </c>
    </row>
    <row r="287" spans="1:10" ht="15.75" hidden="1" thickBot="1" x14ac:dyDescent="0.3">
      <c r="A287" s="222"/>
      <c r="B287" s="225"/>
      <c r="C287" s="36" t="s">
        <v>39</v>
      </c>
      <c r="D287" s="47" t="s">
        <v>12</v>
      </c>
      <c r="E287" s="37">
        <v>2.3969999999999998</v>
      </c>
      <c r="F287" s="31">
        <v>21.622</v>
      </c>
      <c r="G287" s="34">
        <f t="shared" si="4"/>
        <v>51.827933999999992</v>
      </c>
      <c r="H287" s="35"/>
      <c r="I287" s="31"/>
      <c r="J287" s="156">
        <v>0</v>
      </c>
    </row>
    <row r="288" spans="1:10" ht="15.75" hidden="1" thickBot="1" x14ac:dyDescent="0.3">
      <c r="A288" s="223"/>
      <c r="B288" s="226"/>
      <c r="C288" s="36"/>
      <c r="D288" s="36"/>
      <c r="E288" s="37"/>
      <c r="F288" s="31" t="s">
        <v>572</v>
      </c>
      <c r="G288" s="31" t="str">
        <f t="shared" si="4"/>
        <v/>
      </c>
      <c r="H288" s="35"/>
      <c r="I288" s="31"/>
      <c r="J288" s="156">
        <v>0</v>
      </c>
    </row>
    <row r="289" spans="1:10" ht="15.75" hidden="1" thickBot="1" x14ac:dyDescent="0.3">
      <c r="A289" s="221" t="s">
        <v>115</v>
      </c>
      <c r="B289" s="224" t="str">
        <f>INDEX(Orçamentária!A:B,MATCH(Composições!A289,Orçamentária!A:A,0),2)</f>
        <v>Concreto virado em betoneira, fck = 15 MPa</v>
      </c>
      <c r="C289" s="41"/>
      <c r="D289" s="26" t="str">
        <f>TRIM(INDEX(Orçamentária!C:C,MATCH(Composições!A289,Orçamentária!A:A,0),1))</f>
        <v>m3</v>
      </c>
      <c r="E289" s="27"/>
      <c r="F289" s="42" t="s">
        <v>572</v>
      </c>
      <c r="G289" s="28" t="str">
        <f t="shared" si="4"/>
        <v/>
      </c>
      <c r="H289" s="29"/>
      <c r="I289" s="30"/>
      <c r="J289" s="156">
        <v>0</v>
      </c>
    </row>
    <row r="290" spans="1:10" ht="15.75" hidden="1" thickBot="1" x14ac:dyDescent="0.3">
      <c r="A290" s="222"/>
      <c r="B290" s="225"/>
      <c r="C290" s="32"/>
      <c r="D290" s="32"/>
      <c r="E290" s="33"/>
      <c r="F290" s="43" t="s">
        <v>572</v>
      </c>
      <c r="G290" s="31" t="str">
        <f t="shared" si="4"/>
        <v/>
      </c>
      <c r="H290" s="35"/>
      <c r="I290" s="31"/>
      <c r="J290" s="156">
        <v>0</v>
      </c>
    </row>
    <row r="291" spans="1:10" ht="26.25" hidden="1" thickBot="1" x14ac:dyDescent="0.3">
      <c r="A291" s="222"/>
      <c r="B291" s="225"/>
      <c r="C291" s="36" t="s">
        <v>116</v>
      </c>
      <c r="D291" s="47" t="s">
        <v>112</v>
      </c>
      <c r="E291" s="37">
        <v>1</v>
      </c>
      <c r="F291" s="31">
        <v>172.94265500000003</v>
      </c>
      <c r="G291" s="34">
        <f t="shared" si="4"/>
        <v>172.94265500000003</v>
      </c>
      <c r="H291" s="39">
        <f>SUM(G291:G300)</f>
        <v>565.53847735720001</v>
      </c>
      <c r="I291" s="40"/>
      <c r="J291" s="156">
        <v>0</v>
      </c>
    </row>
    <row r="292" spans="1:10" ht="15.75" hidden="1" thickBot="1" x14ac:dyDescent="0.3">
      <c r="A292" s="222"/>
      <c r="B292" s="225"/>
      <c r="C292" s="36" t="s">
        <v>117</v>
      </c>
      <c r="D292" s="47" t="s">
        <v>112</v>
      </c>
      <c r="E292" s="37">
        <v>0.80500000000000005</v>
      </c>
      <c r="F292" s="34">
        <v>90.25</v>
      </c>
      <c r="G292" s="34">
        <f t="shared" si="4"/>
        <v>72.651250000000005</v>
      </c>
      <c r="H292" s="35"/>
      <c r="I292" s="31"/>
      <c r="J292" s="156">
        <v>0</v>
      </c>
    </row>
    <row r="293" spans="1:10" ht="15.75" hidden="1" thickBot="1" x14ac:dyDescent="0.3">
      <c r="A293" s="222"/>
      <c r="B293" s="225"/>
      <c r="C293" s="36" t="s">
        <v>118</v>
      </c>
      <c r="D293" s="47" t="s">
        <v>42</v>
      </c>
      <c r="E293" s="37">
        <v>273.06</v>
      </c>
      <c r="F293" s="34">
        <v>0.47499999999999998</v>
      </c>
      <c r="G293" s="34">
        <f t="shared" si="4"/>
        <v>129.70349999999999</v>
      </c>
      <c r="H293" s="35"/>
      <c r="I293" s="31"/>
      <c r="J293" s="156">
        <v>0</v>
      </c>
    </row>
    <row r="294" spans="1:10" ht="15.75" hidden="1" thickBot="1" x14ac:dyDescent="0.3">
      <c r="A294" s="222"/>
      <c r="B294" s="225"/>
      <c r="C294" s="36" t="s">
        <v>119</v>
      </c>
      <c r="D294" s="47" t="s">
        <v>112</v>
      </c>
      <c r="E294" s="37">
        <v>0.57899999999999996</v>
      </c>
      <c r="F294" s="34">
        <v>117.63849999999999</v>
      </c>
      <c r="G294" s="34">
        <f t="shared" si="4"/>
        <v>68.112691499999997</v>
      </c>
      <c r="H294" s="35"/>
      <c r="I294" s="31"/>
      <c r="J294" s="156">
        <v>0</v>
      </c>
    </row>
    <row r="295" spans="1:10" ht="26.25" hidden="1" thickBot="1" x14ac:dyDescent="0.3">
      <c r="A295" s="222"/>
      <c r="B295" s="225"/>
      <c r="C295" s="36" t="s">
        <v>120</v>
      </c>
      <c r="D295" s="47" t="s">
        <v>12</v>
      </c>
      <c r="E295" s="37">
        <v>1.47</v>
      </c>
      <c r="F295" s="31">
        <v>16.5015</v>
      </c>
      <c r="G295" s="34">
        <f t="shared" si="4"/>
        <v>24.257204999999999</v>
      </c>
      <c r="H295" s="35"/>
      <c r="I295" s="31"/>
      <c r="J295" s="156">
        <v>0</v>
      </c>
    </row>
    <row r="296" spans="1:10" ht="15.75" hidden="1" thickBot="1" x14ac:dyDescent="0.3">
      <c r="A296" s="222"/>
      <c r="B296" s="225"/>
      <c r="C296" s="36" t="s">
        <v>23</v>
      </c>
      <c r="D296" s="36" t="s">
        <v>12</v>
      </c>
      <c r="E296" s="37">
        <v>2.33</v>
      </c>
      <c r="F296" s="31">
        <v>16.311500000000002</v>
      </c>
      <c r="G296" s="34">
        <f t="shared" si="4"/>
        <v>38.005795000000006</v>
      </c>
      <c r="H296" s="35"/>
      <c r="I296" s="31"/>
      <c r="J296" s="156">
        <v>0</v>
      </c>
    </row>
    <row r="297" spans="1:10" ht="39" hidden="1" thickBot="1" x14ac:dyDescent="0.3">
      <c r="A297" s="222"/>
      <c r="B297" s="225"/>
      <c r="C297" s="36" t="s">
        <v>121</v>
      </c>
      <c r="D297" s="47" t="s">
        <v>33</v>
      </c>
      <c r="E297" s="37">
        <v>0.76</v>
      </c>
      <c r="F297" s="34">
        <v>1.2064999999999999</v>
      </c>
      <c r="G297" s="34">
        <f t="shared" si="4"/>
        <v>0.91693999999999998</v>
      </c>
      <c r="H297" s="35"/>
      <c r="I297" s="31"/>
      <c r="J297" s="156">
        <v>0</v>
      </c>
    </row>
    <row r="298" spans="1:10" ht="39" hidden="1" thickBot="1" x14ac:dyDescent="0.3">
      <c r="A298" s="222"/>
      <c r="B298" s="225"/>
      <c r="C298" s="36" t="s">
        <v>122</v>
      </c>
      <c r="D298" s="47" t="s">
        <v>35</v>
      </c>
      <c r="E298" s="37">
        <v>0.71</v>
      </c>
      <c r="F298" s="34">
        <v>0.26600000000000001</v>
      </c>
      <c r="G298" s="34">
        <f t="shared" si="4"/>
        <v>0.18886</v>
      </c>
      <c r="H298" s="35"/>
      <c r="I298" s="31"/>
      <c r="J298" s="156">
        <v>0</v>
      </c>
    </row>
    <row r="299" spans="1:10" ht="51.75" hidden="1" thickBot="1" x14ac:dyDescent="0.3">
      <c r="A299" s="222"/>
      <c r="B299" s="225"/>
      <c r="C299" s="36" t="s">
        <v>3619</v>
      </c>
      <c r="D299" s="36" t="s">
        <v>124</v>
      </c>
      <c r="E299" s="37">
        <f>1*(E292+E294)</f>
        <v>1.3839999999999999</v>
      </c>
      <c r="F299" s="34">
        <v>5.5686425499999999</v>
      </c>
      <c r="G299" s="34">
        <f t="shared" si="4"/>
        <v>7.7070012891999991</v>
      </c>
      <c r="H299" s="35"/>
      <c r="I299" s="31"/>
      <c r="J299" s="156">
        <v>0</v>
      </c>
    </row>
    <row r="300" spans="1:10" ht="39" hidden="1" thickBot="1" x14ac:dyDescent="0.3">
      <c r="A300" s="222"/>
      <c r="B300" s="225"/>
      <c r="C300" s="36" t="s">
        <v>125</v>
      </c>
      <c r="D300" s="47" t="s">
        <v>126</v>
      </c>
      <c r="E300" s="37">
        <f>(E292+E294)*20</f>
        <v>27.68</v>
      </c>
      <c r="F300" s="34">
        <v>1.8443850999999998</v>
      </c>
      <c r="G300" s="34">
        <f t="shared" si="4"/>
        <v>51.052579567999992</v>
      </c>
      <c r="H300" s="35"/>
      <c r="I300" s="31"/>
      <c r="J300" s="156">
        <v>0</v>
      </c>
    </row>
    <row r="301" spans="1:10" ht="15.75" hidden="1" thickBot="1" x14ac:dyDescent="0.3">
      <c r="A301" s="222"/>
      <c r="B301" s="225"/>
      <c r="C301" s="51"/>
      <c r="D301" s="47"/>
      <c r="E301" s="37"/>
      <c r="F301" s="34" t="s">
        <v>572</v>
      </c>
      <c r="G301" s="34" t="str">
        <f t="shared" si="4"/>
        <v/>
      </c>
      <c r="H301" s="35"/>
      <c r="I301" s="31"/>
      <c r="J301" s="156">
        <v>0</v>
      </c>
    </row>
    <row r="302" spans="1:10" ht="26.25" hidden="1" thickBot="1" x14ac:dyDescent="0.3">
      <c r="A302" s="222"/>
      <c r="B302" s="225"/>
      <c r="C302" s="48" t="s">
        <v>127</v>
      </c>
      <c r="D302" s="47"/>
      <c r="E302" s="37"/>
      <c r="F302" s="34" t="s">
        <v>572</v>
      </c>
      <c r="G302" s="34" t="str">
        <f t="shared" si="4"/>
        <v/>
      </c>
      <c r="H302" s="35"/>
      <c r="I302" s="31"/>
      <c r="J302" s="156">
        <v>0</v>
      </c>
    </row>
    <row r="303" spans="1:10" ht="15.75" hidden="1" thickBot="1" x14ac:dyDescent="0.3">
      <c r="A303" s="223"/>
      <c r="B303" s="226"/>
      <c r="C303" s="36"/>
      <c r="D303" s="36"/>
      <c r="E303" s="37"/>
      <c r="F303" s="31" t="s">
        <v>572</v>
      </c>
      <c r="G303" s="31" t="str">
        <f t="shared" si="4"/>
        <v/>
      </c>
      <c r="H303" s="35"/>
      <c r="I303" s="31"/>
      <c r="J303" s="156">
        <v>0</v>
      </c>
    </row>
    <row r="304" spans="1:10" ht="15.75" hidden="1" thickBot="1" x14ac:dyDescent="0.3">
      <c r="A304" s="221" t="s">
        <v>128</v>
      </c>
      <c r="B304" s="224" t="str">
        <f>INDEX(Orçamentária!A:B,MATCH(Composições!A304,Orçamentária!A:A,0),2)</f>
        <v>Concreto virado em betoneira, fck = 25MPa</v>
      </c>
      <c r="C304" s="41"/>
      <c r="D304" s="26" t="str">
        <f>TRIM(INDEX(Orçamentária!C:C,MATCH(Composições!A304,Orçamentária!A:A,0),1))</f>
        <v>m3</v>
      </c>
      <c r="E304" s="27"/>
      <c r="F304" s="42" t="s">
        <v>572</v>
      </c>
      <c r="G304" s="28" t="str">
        <f t="shared" si="4"/>
        <v/>
      </c>
      <c r="H304" s="29"/>
      <c r="I304" s="30"/>
      <c r="J304" s="156">
        <v>0</v>
      </c>
    </row>
    <row r="305" spans="1:10" ht="15.75" hidden="1" thickBot="1" x14ac:dyDescent="0.3">
      <c r="A305" s="222"/>
      <c r="B305" s="225"/>
      <c r="C305" s="32"/>
      <c r="D305" s="32"/>
      <c r="E305" s="33"/>
      <c r="F305" s="43" t="s">
        <v>572</v>
      </c>
      <c r="G305" s="31" t="str">
        <f t="shared" si="4"/>
        <v/>
      </c>
      <c r="H305" s="35"/>
      <c r="I305" s="31"/>
      <c r="J305" s="156">
        <v>0</v>
      </c>
    </row>
    <row r="306" spans="1:10" ht="26.25" hidden="1" thickBot="1" x14ac:dyDescent="0.3">
      <c r="A306" s="222"/>
      <c r="B306" s="225"/>
      <c r="C306" s="36" t="s">
        <v>116</v>
      </c>
      <c r="D306" s="47" t="s">
        <v>112</v>
      </c>
      <c r="E306" s="37">
        <v>1</v>
      </c>
      <c r="F306" s="31">
        <v>172.94265500000003</v>
      </c>
      <c r="G306" s="31">
        <f t="shared" si="4"/>
        <v>172.94265500000003</v>
      </c>
      <c r="H306" s="39">
        <f>SUM(G306:G315)</f>
        <v>598.95457492779985</v>
      </c>
      <c r="I306" s="40"/>
      <c r="J306" s="156">
        <v>0</v>
      </c>
    </row>
    <row r="307" spans="1:10" ht="15.75" hidden="1" thickBot="1" x14ac:dyDescent="0.3">
      <c r="A307" s="222"/>
      <c r="B307" s="225"/>
      <c r="C307" s="36" t="s">
        <v>117</v>
      </c>
      <c r="D307" s="47" t="s">
        <v>112</v>
      </c>
      <c r="E307" s="37">
        <v>0.72299999999999998</v>
      </c>
      <c r="F307" s="34">
        <v>90.25</v>
      </c>
      <c r="G307" s="31">
        <f t="shared" si="4"/>
        <v>65.250749999999996</v>
      </c>
      <c r="H307" s="35"/>
      <c r="I307" s="31"/>
      <c r="J307" s="156">
        <v>0</v>
      </c>
    </row>
    <row r="308" spans="1:10" ht="15.75" hidden="1" thickBot="1" x14ac:dyDescent="0.3">
      <c r="A308" s="222"/>
      <c r="B308" s="225"/>
      <c r="C308" s="36" t="s">
        <v>118</v>
      </c>
      <c r="D308" s="47" t="s">
        <v>42</v>
      </c>
      <c r="E308" s="37">
        <v>362.66</v>
      </c>
      <c r="F308" s="34">
        <v>0.47499999999999998</v>
      </c>
      <c r="G308" s="31">
        <f t="shared" si="4"/>
        <v>172.26349999999999</v>
      </c>
      <c r="H308" s="35"/>
      <c r="I308" s="31"/>
      <c r="J308" s="156">
        <v>0</v>
      </c>
    </row>
    <row r="309" spans="1:10" ht="15.75" hidden="1" thickBot="1" x14ac:dyDescent="0.3">
      <c r="A309" s="222"/>
      <c r="B309" s="225"/>
      <c r="C309" s="36" t="s">
        <v>119</v>
      </c>
      <c r="D309" s="47" t="s">
        <v>112</v>
      </c>
      <c r="E309" s="37">
        <v>0.59299999999999997</v>
      </c>
      <c r="F309" s="34">
        <v>117.63849999999999</v>
      </c>
      <c r="G309" s="31">
        <f t="shared" si="4"/>
        <v>69.759630499999986</v>
      </c>
      <c r="H309" s="35"/>
      <c r="I309" s="31"/>
      <c r="J309" s="156">
        <v>0</v>
      </c>
    </row>
    <row r="310" spans="1:10" ht="15.75" hidden="1" thickBot="1" x14ac:dyDescent="0.3">
      <c r="A310" s="222"/>
      <c r="B310" s="225"/>
      <c r="C310" s="36" t="s">
        <v>23</v>
      </c>
      <c r="D310" s="47" t="s">
        <v>12</v>
      </c>
      <c r="E310" s="37">
        <f>2.31</f>
        <v>2.31</v>
      </c>
      <c r="F310" s="31">
        <v>16.311500000000002</v>
      </c>
      <c r="G310" s="31">
        <f t="shared" si="4"/>
        <v>37.679565000000004</v>
      </c>
      <c r="H310" s="35"/>
      <c r="I310" s="31"/>
      <c r="J310" s="156">
        <v>0</v>
      </c>
    </row>
    <row r="311" spans="1:10" ht="26.25" hidden="1" thickBot="1" x14ac:dyDescent="0.3">
      <c r="A311" s="222"/>
      <c r="B311" s="225"/>
      <c r="C311" s="36" t="s">
        <v>120</v>
      </c>
      <c r="D311" s="47" t="s">
        <v>12</v>
      </c>
      <c r="E311" s="37">
        <v>1.46</v>
      </c>
      <c r="F311" s="31">
        <v>16.5015</v>
      </c>
      <c r="G311" s="31">
        <f t="shared" si="4"/>
        <v>24.092189999999999</v>
      </c>
      <c r="H311" s="35"/>
      <c r="I311" s="31"/>
      <c r="J311" s="156">
        <v>0</v>
      </c>
    </row>
    <row r="312" spans="1:10" ht="39" hidden="1" thickBot="1" x14ac:dyDescent="0.3">
      <c r="A312" s="222"/>
      <c r="B312" s="225"/>
      <c r="C312" s="36" t="s">
        <v>121</v>
      </c>
      <c r="D312" s="47" t="s">
        <v>33</v>
      </c>
      <c r="E312" s="37">
        <v>0.75</v>
      </c>
      <c r="F312" s="34">
        <v>1.2064999999999999</v>
      </c>
      <c r="G312" s="31">
        <f t="shared" si="4"/>
        <v>0.90487499999999987</v>
      </c>
      <c r="H312" s="35"/>
      <c r="I312" s="31"/>
      <c r="J312" s="156">
        <v>0</v>
      </c>
    </row>
    <row r="313" spans="1:10" ht="39" hidden="1" thickBot="1" x14ac:dyDescent="0.3">
      <c r="A313" s="222"/>
      <c r="B313" s="225"/>
      <c r="C313" s="36" t="s">
        <v>122</v>
      </c>
      <c r="D313" s="36" t="s">
        <v>35</v>
      </c>
      <c r="E313" s="37">
        <v>0.71</v>
      </c>
      <c r="F313" s="34">
        <v>0.26600000000000001</v>
      </c>
      <c r="G313" s="31">
        <f t="shared" si="4"/>
        <v>0.18886</v>
      </c>
      <c r="H313" s="35"/>
      <c r="I313" s="31"/>
      <c r="J313" s="156">
        <v>0</v>
      </c>
    </row>
    <row r="314" spans="1:10" ht="51.75" hidden="1" thickBot="1" x14ac:dyDescent="0.3">
      <c r="A314" s="222"/>
      <c r="B314" s="225"/>
      <c r="C314" s="36" t="s">
        <v>3619</v>
      </c>
      <c r="D314" s="36" t="s">
        <v>124</v>
      </c>
      <c r="E314" s="37">
        <f>1*(E307+E309)</f>
        <v>1.3159999999999998</v>
      </c>
      <c r="F314" s="34">
        <v>5.5686425499999999</v>
      </c>
      <c r="G314" s="34">
        <f t="shared" si="4"/>
        <v>7.3283335957999993</v>
      </c>
      <c r="H314" s="35"/>
      <c r="I314" s="31"/>
      <c r="J314" s="156">
        <v>0</v>
      </c>
    </row>
    <row r="315" spans="1:10" ht="39" hidden="1" thickBot="1" x14ac:dyDescent="0.3">
      <c r="A315" s="222"/>
      <c r="B315" s="225"/>
      <c r="C315" s="36" t="s">
        <v>125</v>
      </c>
      <c r="D315" s="47" t="s">
        <v>126</v>
      </c>
      <c r="E315" s="37">
        <f>(E307+E309)*20</f>
        <v>26.319999999999997</v>
      </c>
      <c r="F315" s="34">
        <v>1.8443850999999998</v>
      </c>
      <c r="G315" s="34">
        <f t="shared" si="4"/>
        <v>48.544215831999985</v>
      </c>
      <c r="H315" s="35"/>
      <c r="I315" s="31"/>
      <c r="J315" s="156">
        <v>0</v>
      </c>
    </row>
    <row r="316" spans="1:10" ht="15.75" hidden="1" thickBot="1" x14ac:dyDescent="0.3">
      <c r="A316" s="222"/>
      <c r="B316" s="225"/>
      <c r="C316" s="51"/>
      <c r="D316" s="47"/>
      <c r="E316" s="37"/>
      <c r="F316" s="34" t="s">
        <v>572</v>
      </c>
      <c r="G316" s="34" t="str">
        <f t="shared" si="4"/>
        <v/>
      </c>
      <c r="H316" s="35"/>
      <c r="I316" s="31"/>
      <c r="J316" s="156">
        <v>0</v>
      </c>
    </row>
    <row r="317" spans="1:10" ht="26.25" hidden="1" thickBot="1" x14ac:dyDescent="0.3">
      <c r="A317" s="222"/>
      <c r="B317" s="225"/>
      <c r="C317" s="48" t="s">
        <v>127</v>
      </c>
      <c r="D317" s="47"/>
      <c r="E317" s="37"/>
      <c r="F317" s="34" t="s">
        <v>572</v>
      </c>
      <c r="G317" s="34" t="str">
        <f t="shared" si="4"/>
        <v/>
      </c>
      <c r="H317" s="35"/>
      <c r="I317" s="31"/>
      <c r="J317" s="156">
        <v>0</v>
      </c>
    </row>
    <row r="318" spans="1:10" ht="15.75" hidden="1" thickBot="1" x14ac:dyDescent="0.3">
      <c r="A318" s="223"/>
      <c r="B318" s="226"/>
      <c r="C318" s="36"/>
      <c r="D318" s="36"/>
      <c r="E318" s="37"/>
      <c r="F318" s="31" t="s">
        <v>572</v>
      </c>
      <c r="G318" s="31" t="str">
        <f t="shared" si="4"/>
        <v/>
      </c>
      <c r="H318" s="35"/>
      <c r="I318" s="31"/>
      <c r="J318" s="156">
        <v>0</v>
      </c>
    </row>
    <row r="319" spans="1:10" ht="15.75" hidden="1" thickBot="1" x14ac:dyDescent="0.3">
      <c r="A319" s="221" t="s">
        <v>129</v>
      </c>
      <c r="B319" s="224" t="str">
        <f>INDEX(Orçamentária!A:B,MATCH(Composições!A319,Orçamentária!A:A,0),2)</f>
        <v>Escoramento metálico</v>
      </c>
      <c r="C319" s="41"/>
      <c r="D319" s="26" t="str">
        <f>TRIM(INDEX(Orçamentária!C:C,MATCH(Composições!A319,Orçamentária!A:A,0),1))</f>
        <v>m2 x mês</v>
      </c>
      <c r="E319" s="27"/>
      <c r="F319" s="42" t="s">
        <v>572</v>
      </c>
      <c r="G319" s="28" t="str">
        <f t="shared" si="4"/>
        <v/>
      </c>
      <c r="H319" s="29"/>
      <c r="I319" s="30"/>
      <c r="J319" s="156">
        <v>0</v>
      </c>
    </row>
    <row r="320" spans="1:10" ht="15.75" hidden="1" thickBot="1" x14ac:dyDescent="0.3">
      <c r="A320" s="222"/>
      <c r="B320" s="225"/>
      <c r="C320" s="32"/>
      <c r="D320" s="32"/>
      <c r="E320" s="33"/>
      <c r="F320" s="31" t="s">
        <v>572</v>
      </c>
      <c r="G320" s="31" t="str">
        <f t="shared" si="4"/>
        <v/>
      </c>
      <c r="H320" s="35"/>
      <c r="I320" s="31"/>
      <c r="J320" s="156">
        <v>0</v>
      </c>
    </row>
    <row r="321" spans="1:10" ht="39" hidden="1" thickBot="1" x14ac:dyDescent="0.3">
      <c r="A321" s="222"/>
      <c r="B321" s="225"/>
      <c r="C321" s="36" t="s">
        <v>130</v>
      </c>
      <c r="D321" s="47" t="s">
        <v>131</v>
      </c>
      <c r="E321" s="37">
        <v>0.85</v>
      </c>
      <c r="F321" s="31">
        <v>5.2154999999999996</v>
      </c>
      <c r="G321" s="31">
        <f t="shared" si="4"/>
        <v>4.4331749999999994</v>
      </c>
      <c r="H321" s="39">
        <f>SUM(G321:G323)</f>
        <v>14.386324999999999</v>
      </c>
      <c r="I321" s="40"/>
      <c r="J321" s="156">
        <v>0</v>
      </c>
    </row>
    <row r="322" spans="1:10" ht="15.75" hidden="1" thickBot="1" x14ac:dyDescent="0.3">
      <c r="A322" s="222"/>
      <c r="B322" s="225"/>
      <c r="C322" s="36" t="s">
        <v>132</v>
      </c>
      <c r="D322" s="47" t="s">
        <v>12</v>
      </c>
      <c r="E322" s="37">
        <v>0.2</v>
      </c>
      <c r="F322" s="31">
        <v>18.468</v>
      </c>
      <c r="G322" s="31">
        <f t="shared" si="4"/>
        <v>3.6936</v>
      </c>
      <c r="H322" s="35"/>
      <c r="I322" s="31"/>
      <c r="J322" s="156">
        <v>0</v>
      </c>
    </row>
    <row r="323" spans="1:10" ht="26.25" hidden="1" thickBot="1" x14ac:dyDescent="0.3">
      <c r="A323" s="222"/>
      <c r="B323" s="225"/>
      <c r="C323" s="36" t="s">
        <v>3790</v>
      </c>
      <c r="D323" s="47" t="s">
        <v>94</v>
      </c>
      <c r="E323" s="37">
        <v>1.1000000000000001</v>
      </c>
      <c r="F323" s="31">
        <v>5.6905000000000001</v>
      </c>
      <c r="G323" s="31">
        <f t="shared" si="4"/>
        <v>6.2595500000000008</v>
      </c>
      <c r="H323" s="35"/>
      <c r="I323" s="31"/>
      <c r="J323" s="156">
        <v>0</v>
      </c>
    </row>
    <row r="324" spans="1:10" ht="15.75" hidden="1" thickBot="1" x14ac:dyDescent="0.3">
      <c r="A324" s="222"/>
      <c r="B324" s="225"/>
      <c r="C324" s="36"/>
      <c r="D324" s="36"/>
      <c r="E324" s="37"/>
      <c r="F324" s="31" t="s">
        <v>572</v>
      </c>
      <c r="G324" s="31" t="str">
        <f t="shared" si="4"/>
        <v/>
      </c>
      <c r="H324" s="35"/>
      <c r="I324" s="31"/>
      <c r="J324" s="156">
        <v>0</v>
      </c>
    </row>
    <row r="325" spans="1:10" ht="15.75" hidden="1" thickBot="1" x14ac:dyDescent="0.3">
      <c r="A325" s="221" t="s">
        <v>133</v>
      </c>
      <c r="B325" s="224" t="str">
        <f>INDEX(Orçamentária!A:B,MATCH(Composições!A325,Orçamentária!A:A,0),2)</f>
        <v>Estrutura metálica em aço</v>
      </c>
      <c r="C325" s="41"/>
      <c r="D325" s="26" t="str">
        <f>TRIM(INDEX(Orçamentária!C:C,MATCH(Composições!A325,Orçamentária!A:A,0),1))</f>
        <v>kg</v>
      </c>
      <c r="E325" s="27"/>
      <c r="F325" s="42" t="s">
        <v>572</v>
      </c>
      <c r="G325" s="28" t="str">
        <f t="shared" si="4"/>
        <v/>
      </c>
      <c r="H325" s="29"/>
      <c r="I325" s="30"/>
      <c r="J325" s="156">
        <v>0</v>
      </c>
    </row>
    <row r="326" spans="1:10" ht="15.75" hidden="1" thickBot="1" x14ac:dyDescent="0.3">
      <c r="A326" s="222"/>
      <c r="B326" s="225"/>
      <c r="C326" s="32"/>
      <c r="D326" s="32"/>
      <c r="E326" s="33"/>
      <c r="F326" s="43" t="s">
        <v>572</v>
      </c>
      <c r="G326" s="31" t="str">
        <f t="shared" ref="G326:G389" si="5">IF(ISNUMBER(F326),E326*F326,"")</f>
        <v/>
      </c>
      <c r="H326" s="35"/>
      <c r="I326" s="31"/>
      <c r="J326" s="156">
        <v>0</v>
      </c>
    </row>
    <row r="327" spans="1:10" ht="26.25" hidden="1" thickBot="1" x14ac:dyDescent="0.3">
      <c r="A327" s="222"/>
      <c r="B327" s="225"/>
      <c r="C327" s="36" t="s">
        <v>134</v>
      </c>
      <c r="D327" s="47" t="s">
        <v>42</v>
      </c>
      <c r="E327" s="37">
        <v>0.01</v>
      </c>
      <c r="F327" s="34">
        <v>42.217999999999996</v>
      </c>
      <c r="G327" s="34">
        <f t="shared" si="5"/>
        <v>0.42218</v>
      </c>
      <c r="H327" s="39">
        <f>SUM(G327:G338)</f>
        <v>12.261555</v>
      </c>
      <c r="I327" s="40"/>
      <c r="J327" s="156">
        <v>0</v>
      </c>
    </row>
    <row r="328" spans="1:10" ht="26.25" hidden="1" thickBot="1" x14ac:dyDescent="0.3">
      <c r="A328" s="222"/>
      <c r="B328" s="225"/>
      <c r="C328" s="36" t="s">
        <v>135</v>
      </c>
      <c r="D328" s="47" t="s">
        <v>42</v>
      </c>
      <c r="E328" s="37">
        <v>0.27</v>
      </c>
      <c r="F328" s="34">
        <v>8.2174999999999994</v>
      </c>
      <c r="G328" s="34">
        <f t="shared" si="5"/>
        <v>2.2187250000000001</v>
      </c>
      <c r="H328" s="35"/>
      <c r="I328" s="31"/>
      <c r="J328" s="156">
        <v>0</v>
      </c>
    </row>
    <row r="329" spans="1:10" ht="15.75" hidden="1" thickBot="1" x14ac:dyDescent="0.3">
      <c r="A329" s="222"/>
      <c r="B329" s="225"/>
      <c r="C329" s="36" t="s">
        <v>136</v>
      </c>
      <c r="D329" s="47" t="s">
        <v>42</v>
      </c>
      <c r="E329" s="37">
        <v>0.33</v>
      </c>
      <c r="F329" s="34">
        <v>0.95</v>
      </c>
      <c r="G329" s="34">
        <f t="shared" si="5"/>
        <v>0.3135</v>
      </c>
      <c r="H329" s="35"/>
      <c r="I329" s="31"/>
      <c r="J329" s="156">
        <v>0</v>
      </c>
    </row>
    <row r="330" spans="1:10" ht="15.75" hidden="1" thickBot="1" x14ac:dyDescent="0.3">
      <c r="A330" s="222"/>
      <c r="B330" s="225"/>
      <c r="C330" s="36" t="s">
        <v>137</v>
      </c>
      <c r="D330" s="47" t="s">
        <v>42</v>
      </c>
      <c r="E330" s="37">
        <v>2.5000000000000001E-2</v>
      </c>
      <c r="F330" s="34">
        <v>18.885999999999999</v>
      </c>
      <c r="G330" s="34">
        <f t="shared" si="5"/>
        <v>0.47215000000000001</v>
      </c>
      <c r="H330" s="35"/>
      <c r="I330" s="31"/>
      <c r="J330" s="156">
        <v>0</v>
      </c>
    </row>
    <row r="331" spans="1:10" ht="26.25" hidden="1" thickBot="1" x14ac:dyDescent="0.3">
      <c r="A331" s="222"/>
      <c r="B331" s="225"/>
      <c r="C331" s="36" t="s">
        <v>138</v>
      </c>
      <c r="D331" s="47" t="s">
        <v>112</v>
      </c>
      <c r="E331" s="37">
        <v>0.05</v>
      </c>
      <c r="F331" s="34">
        <v>9.2530000000000001</v>
      </c>
      <c r="G331" s="34">
        <f t="shared" si="5"/>
        <v>0.46265000000000001</v>
      </c>
      <c r="H331" s="35"/>
      <c r="I331" s="31"/>
      <c r="J331" s="156">
        <v>0</v>
      </c>
    </row>
    <row r="332" spans="1:10" ht="15.75" hidden="1" thickBot="1" x14ac:dyDescent="0.3">
      <c r="A332" s="222"/>
      <c r="B332" s="225"/>
      <c r="C332" s="36" t="s">
        <v>139</v>
      </c>
      <c r="D332" s="47" t="s">
        <v>42</v>
      </c>
      <c r="E332" s="37">
        <v>0.4</v>
      </c>
      <c r="F332" s="34">
        <v>0</v>
      </c>
      <c r="G332" s="34">
        <f t="shared" si="5"/>
        <v>0</v>
      </c>
      <c r="H332" s="35"/>
      <c r="I332" s="31"/>
      <c r="J332" s="156">
        <v>0</v>
      </c>
    </row>
    <row r="333" spans="1:10" ht="15.75" hidden="1" thickBot="1" x14ac:dyDescent="0.3">
      <c r="A333" s="222"/>
      <c r="B333" s="225"/>
      <c r="C333" s="36" t="s">
        <v>27</v>
      </c>
      <c r="D333" s="47" t="s">
        <v>12</v>
      </c>
      <c r="E333" s="37">
        <f>0.2+0.2</f>
        <v>0.4</v>
      </c>
      <c r="F333" s="31">
        <v>16.852999999999998</v>
      </c>
      <c r="G333" s="34">
        <f t="shared" si="5"/>
        <v>6.7411999999999992</v>
      </c>
      <c r="H333" s="35"/>
      <c r="I333" s="31"/>
      <c r="J333" s="156">
        <v>0</v>
      </c>
    </row>
    <row r="334" spans="1:10" ht="15.75" hidden="1" thickBot="1" x14ac:dyDescent="0.3">
      <c r="A334" s="222"/>
      <c r="B334" s="225"/>
      <c r="C334" s="36" t="s">
        <v>23</v>
      </c>
      <c r="D334" s="47" t="s">
        <v>12</v>
      </c>
      <c r="E334" s="37">
        <v>0.1</v>
      </c>
      <c r="F334" s="31">
        <v>16.311500000000002</v>
      </c>
      <c r="G334" s="34">
        <f t="shared" si="5"/>
        <v>1.6311500000000003</v>
      </c>
      <c r="H334" s="35"/>
      <c r="I334" s="31"/>
      <c r="J334" s="156">
        <v>0</v>
      </c>
    </row>
    <row r="335" spans="1:10" ht="26.25" hidden="1" thickBot="1" x14ac:dyDescent="0.3">
      <c r="A335" s="222"/>
      <c r="B335" s="225"/>
      <c r="C335" s="36" t="s">
        <v>140</v>
      </c>
      <c r="D335" s="47" t="s">
        <v>42</v>
      </c>
      <c r="E335" s="37">
        <v>0.05</v>
      </c>
      <c r="F335" s="34">
        <v>0</v>
      </c>
      <c r="G335" s="34">
        <f t="shared" si="5"/>
        <v>0</v>
      </c>
      <c r="H335" s="35"/>
      <c r="I335" s="31"/>
      <c r="J335" s="156">
        <v>0</v>
      </c>
    </row>
    <row r="336" spans="1:10" ht="39" hidden="1" thickBot="1" x14ac:dyDescent="0.3">
      <c r="A336" s="222"/>
      <c r="B336" s="225"/>
      <c r="C336" s="36" t="s">
        <v>141</v>
      </c>
      <c r="D336" s="47" t="s">
        <v>96</v>
      </c>
      <c r="E336" s="37">
        <v>0.05</v>
      </c>
      <c r="F336" s="34">
        <v>0</v>
      </c>
      <c r="G336" s="34">
        <f t="shared" si="5"/>
        <v>0</v>
      </c>
      <c r="H336" s="35"/>
      <c r="I336" s="31"/>
      <c r="J336" s="156">
        <v>0</v>
      </c>
    </row>
    <row r="337" spans="1:10" ht="15.75" hidden="1" thickBot="1" x14ac:dyDescent="0.3">
      <c r="A337" s="222"/>
      <c r="B337" s="225"/>
      <c r="C337" s="36" t="s">
        <v>142</v>
      </c>
      <c r="D337" s="47" t="s">
        <v>12</v>
      </c>
      <c r="E337" s="37">
        <v>2.5000000000000001E-2</v>
      </c>
      <c r="F337" s="34">
        <v>0</v>
      </c>
      <c r="G337" s="34">
        <f t="shared" si="5"/>
        <v>0</v>
      </c>
      <c r="H337" s="35"/>
      <c r="I337" s="31"/>
      <c r="J337" s="156">
        <v>0</v>
      </c>
    </row>
    <row r="338" spans="1:10" ht="51.75" hidden="1" thickBot="1" x14ac:dyDescent="0.3">
      <c r="A338" s="222"/>
      <c r="B338" s="225"/>
      <c r="C338" s="36" t="s">
        <v>143</v>
      </c>
      <c r="D338" s="47" t="s">
        <v>12</v>
      </c>
      <c r="E338" s="37">
        <v>0.5</v>
      </c>
      <c r="F338" s="34">
        <v>0</v>
      </c>
      <c r="G338" s="34">
        <f t="shared" si="5"/>
        <v>0</v>
      </c>
      <c r="H338" s="35"/>
      <c r="I338" s="31"/>
      <c r="J338" s="156">
        <v>0</v>
      </c>
    </row>
    <row r="339" spans="1:10" ht="15.75" hidden="1" thickBot="1" x14ac:dyDescent="0.3">
      <c r="A339" s="223"/>
      <c r="B339" s="226"/>
      <c r="C339" s="36"/>
      <c r="D339" s="36"/>
      <c r="E339" s="37"/>
      <c r="F339" s="31" t="s">
        <v>572</v>
      </c>
      <c r="G339" s="31" t="str">
        <f t="shared" si="5"/>
        <v/>
      </c>
      <c r="H339" s="35"/>
      <c r="I339" s="31"/>
      <c r="J339" s="156">
        <v>0</v>
      </c>
    </row>
    <row r="340" spans="1:10" ht="15.75" hidden="1" thickBot="1" x14ac:dyDescent="0.3">
      <c r="A340" s="221" t="s">
        <v>144</v>
      </c>
      <c r="B340" s="224" t="str">
        <f>INDEX(Orçamentária!A:B,MATCH(Composições!A340,Orçamentária!A:A,0),2)</f>
        <v>Forma para estruturas de concreto</v>
      </c>
      <c r="C340" s="41"/>
      <c r="D340" s="26" t="str">
        <f>TRIM(INDEX(Orçamentária!C:C,MATCH(Composições!A340,Orçamentária!A:A,0),1))</f>
        <v>m2</v>
      </c>
      <c r="E340" s="27"/>
      <c r="F340" s="42" t="s">
        <v>572</v>
      </c>
      <c r="G340" s="28" t="str">
        <f t="shared" si="5"/>
        <v/>
      </c>
      <c r="H340" s="29"/>
      <c r="I340" s="30"/>
      <c r="J340" s="156">
        <v>0</v>
      </c>
    </row>
    <row r="341" spans="1:10" ht="15.75" hidden="1" thickBot="1" x14ac:dyDescent="0.3">
      <c r="A341" s="222"/>
      <c r="B341" s="225"/>
      <c r="C341" s="32"/>
      <c r="D341" s="32"/>
      <c r="E341" s="33"/>
      <c r="F341" s="43" t="s">
        <v>572</v>
      </c>
      <c r="G341" s="31" t="str">
        <f t="shared" si="5"/>
        <v/>
      </c>
      <c r="H341" s="35"/>
      <c r="I341" s="31"/>
      <c r="J341" s="156">
        <v>0</v>
      </c>
    </row>
    <row r="342" spans="1:10" ht="26.25" hidden="1" thickBot="1" x14ac:dyDescent="0.3">
      <c r="A342" s="222"/>
      <c r="B342" s="225"/>
      <c r="C342" s="36" t="s">
        <v>1222</v>
      </c>
      <c r="D342" s="50" t="s">
        <v>105</v>
      </c>
      <c r="E342" s="37">
        <v>0.01</v>
      </c>
      <c r="F342" s="34">
        <v>5.6144999999999996</v>
      </c>
      <c r="G342" s="34">
        <f t="shared" si="5"/>
        <v>5.6145E-2</v>
      </c>
      <c r="H342" s="39">
        <f>SUM(G342:G348)</f>
        <v>138.83212948650001</v>
      </c>
      <c r="I342" s="40"/>
      <c r="J342" s="156">
        <v>0</v>
      </c>
    </row>
    <row r="343" spans="1:10" ht="26.25" hidden="1" thickBot="1" x14ac:dyDescent="0.3">
      <c r="A343" s="222"/>
      <c r="B343" s="225"/>
      <c r="C343" s="36" t="s">
        <v>145</v>
      </c>
      <c r="D343" s="36" t="s">
        <v>527</v>
      </c>
      <c r="E343" s="37">
        <v>0.47399999999999998</v>
      </c>
      <c r="F343" s="34">
        <v>14.629999999999999</v>
      </c>
      <c r="G343" s="34">
        <f t="shared" si="5"/>
        <v>6.9346199999999989</v>
      </c>
      <c r="H343" s="35"/>
      <c r="I343" s="31"/>
      <c r="J343" s="156">
        <v>0</v>
      </c>
    </row>
    <row r="344" spans="1:10" ht="15.75" hidden="1" thickBot="1" x14ac:dyDescent="0.3">
      <c r="A344" s="222"/>
      <c r="B344" s="225"/>
      <c r="C344" s="36" t="s">
        <v>3469</v>
      </c>
      <c r="D344" s="36" t="s">
        <v>957</v>
      </c>
      <c r="E344" s="37">
        <v>4.9000000000000002E-2</v>
      </c>
      <c r="F344" s="34">
        <v>21.47</v>
      </c>
      <c r="G344" s="34">
        <f t="shared" si="5"/>
        <v>1.05203</v>
      </c>
      <c r="H344" s="35"/>
      <c r="I344" s="31"/>
      <c r="J344" s="156">
        <v>0</v>
      </c>
    </row>
    <row r="345" spans="1:10" ht="15.75" hidden="1" thickBot="1" x14ac:dyDescent="0.3">
      <c r="A345" s="222"/>
      <c r="B345" s="225"/>
      <c r="C345" s="36" t="s">
        <v>843</v>
      </c>
      <c r="D345" s="36" t="s">
        <v>759</v>
      </c>
      <c r="E345" s="37">
        <v>0.20499999999999999</v>
      </c>
      <c r="F345" s="31">
        <v>18.468</v>
      </c>
      <c r="G345" s="34">
        <f t="shared" si="5"/>
        <v>3.7859399999999996</v>
      </c>
      <c r="H345" s="35"/>
      <c r="I345" s="31"/>
      <c r="J345" s="156">
        <v>0</v>
      </c>
    </row>
    <row r="346" spans="1:10" ht="15.75" hidden="1" thickBot="1" x14ac:dyDescent="0.3">
      <c r="A346" s="222"/>
      <c r="B346" s="225"/>
      <c r="C346" s="36" t="s">
        <v>1054</v>
      </c>
      <c r="D346" s="36" t="s">
        <v>759</v>
      </c>
      <c r="E346" s="37">
        <v>1.1200000000000001</v>
      </c>
      <c r="F346" s="31">
        <v>21.878499999999999</v>
      </c>
      <c r="G346" s="34">
        <f t="shared" si="5"/>
        <v>24.503920000000001</v>
      </c>
      <c r="H346" s="35"/>
      <c r="I346" s="31"/>
      <c r="J346" s="156">
        <v>0</v>
      </c>
    </row>
    <row r="347" spans="1:10" ht="26.25" hidden="1" thickBot="1" x14ac:dyDescent="0.3">
      <c r="A347" s="222"/>
      <c r="B347" s="225"/>
      <c r="C347" s="36" t="s">
        <v>3778</v>
      </c>
      <c r="D347" s="36" t="s">
        <v>1053</v>
      </c>
      <c r="E347" s="37">
        <v>0.621</v>
      </c>
      <c r="F347" s="34">
        <v>93.563476499999979</v>
      </c>
      <c r="G347" s="34">
        <f t="shared" si="5"/>
        <v>58.102918906499987</v>
      </c>
      <c r="H347" s="35"/>
      <c r="I347" s="31"/>
      <c r="J347" s="156">
        <v>0</v>
      </c>
    </row>
    <row r="348" spans="1:10" ht="26.25" hidden="1" thickBot="1" x14ac:dyDescent="0.3">
      <c r="A348" s="222"/>
      <c r="B348" s="225"/>
      <c r="C348" s="36" t="s">
        <v>3780</v>
      </c>
      <c r="D348" s="36" t="s">
        <v>527</v>
      </c>
      <c r="E348" s="37">
        <v>1.8160000000000001</v>
      </c>
      <c r="F348" s="34">
        <v>24.447442500000001</v>
      </c>
      <c r="G348" s="34">
        <f t="shared" si="5"/>
        <v>44.396555580000005</v>
      </c>
      <c r="H348" s="35"/>
      <c r="I348" s="31"/>
      <c r="J348" s="156">
        <v>0</v>
      </c>
    </row>
    <row r="349" spans="1:10" ht="15.75" hidden="1" thickBot="1" x14ac:dyDescent="0.3">
      <c r="A349" s="223"/>
      <c r="B349" s="226"/>
      <c r="C349" s="36"/>
      <c r="D349" s="36"/>
      <c r="E349" s="37"/>
      <c r="F349" s="31" t="s">
        <v>572</v>
      </c>
      <c r="G349" s="31" t="str">
        <f t="shared" si="5"/>
        <v/>
      </c>
      <c r="H349" s="35"/>
      <c r="I349" s="31"/>
      <c r="J349" s="156">
        <v>0</v>
      </c>
    </row>
    <row r="350" spans="1:10" ht="15.75" hidden="1" thickBot="1" x14ac:dyDescent="0.3">
      <c r="A350" s="221" t="s">
        <v>146</v>
      </c>
      <c r="B350" s="224" t="str">
        <f>INDEX(Orçamentária!A:B,MATCH(Composições!A350,Orçamentária!A:A,0),2)</f>
        <v>Verga/contraverga/cinta em bloco de concreto canaleta 11,5 x 19 x 39 cm</v>
      </c>
      <c r="C350" s="41"/>
      <c r="D350" s="26" t="str">
        <f>TRIM(INDEX(Orçamentária!C:C,MATCH(Composições!A350,Orçamentária!A:A,0),1))</f>
        <v>m</v>
      </c>
      <c r="E350" s="27"/>
      <c r="F350" s="42" t="s">
        <v>572</v>
      </c>
      <c r="G350" s="28" t="str">
        <f t="shared" si="5"/>
        <v/>
      </c>
      <c r="H350" s="29"/>
      <c r="I350" s="30"/>
      <c r="J350" s="156">
        <v>0</v>
      </c>
    </row>
    <row r="351" spans="1:10" ht="15.75" hidden="1" thickBot="1" x14ac:dyDescent="0.3">
      <c r="A351" s="227"/>
      <c r="B351" s="225"/>
      <c r="C351" s="32"/>
      <c r="D351" s="32"/>
      <c r="E351" s="33"/>
      <c r="F351" s="43" t="s">
        <v>572</v>
      </c>
      <c r="G351" s="31" t="str">
        <f t="shared" si="5"/>
        <v/>
      </c>
      <c r="H351" s="35"/>
      <c r="I351" s="31"/>
      <c r="J351" s="156">
        <v>0</v>
      </c>
    </row>
    <row r="352" spans="1:10" ht="15.75" hidden="1" thickBot="1" x14ac:dyDescent="0.3">
      <c r="A352" s="227"/>
      <c r="B352" s="225"/>
      <c r="C352" s="36" t="s">
        <v>23</v>
      </c>
      <c r="D352" s="47" t="s">
        <v>12</v>
      </c>
      <c r="E352" s="37">
        <v>0.4</v>
      </c>
      <c r="F352" s="31">
        <v>16.311500000000002</v>
      </c>
      <c r="G352" s="34">
        <f t="shared" si="5"/>
        <v>6.5246000000000013</v>
      </c>
      <c r="H352" s="39">
        <f>SUM(G352:G360)</f>
        <v>21.561786890999997</v>
      </c>
      <c r="I352" s="40"/>
      <c r="J352" s="156">
        <v>0</v>
      </c>
    </row>
    <row r="353" spans="1:10" ht="15.75" hidden="1" thickBot="1" x14ac:dyDescent="0.3">
      <c r="A353" s="227"/>
      <c r="B353" s="225"/>
      <c r="C353" s="36" t="s">
        <v>147</v>
      </c>
      <c r="D353" s="47" t="s">
        <v>12</v>
      </c>
      <c r="E353" s="37">
        <v>0.3</v>
      </c>
      <c r="F353" s="31">
        <v>22.087499999999999</v>
      </c>
      <c r="G353" s="34">
        <f t="shared" si="5"/>
        <v>6.6262499999999998</v>
      </c>
      <c r="H353" s="35"/>
      <c r="I353" s="31"/>
      <c r="J353" s="156">
        <v>0</v>
      </c>
    </row>
    <row r="354" spans="1:10" ht="15.75" hidden="1" thickBot="1" x14ac:dyDescent="0.3">
      <c r="A354" s="227"/>
      <c r="B354" s="225"/>
      <c r="C354" s="36" t="s">
        <v>117</v>
      </c>
      <c r="D354" s="36" t="s">
        <v>112</v>
      </c>
      <c r="E354" s="37">
        <v>0.01</v>
      </c>
      <c r="F354" s="34">
        <v>90.25</v>
      </c>
      <c r="G354" s="34">
        <f t="shared" si="5"/>
        <v>0.90249999999999997</v>
      </c>
      <c r="H354" s="35"/>
      <c r="I354" s="31"/>
      <c r="J354" s="156">
        <v>0</v>
      </c>
    </row>
    <row r="355" spans="1:10" ht="15.75" hidden="1" thickBot="1" x14ac:dyDescent="0.3">
      <c r="A355" s="227"/>
      <c r="B355" s="225"/>
      <c r="C355" s="36" t="s">
        <v>148</v>
      </c>
      <c r="D355" s="36" t="s">
        <v>112</v>
      </c>
      <c r="E355" s="37">
        <v>0.01</v>
      </c>
      <c r="F355" s="34">
        <v>118.256</v>
      </c>
      <c r="G355" s="34">
        <f t="shared" si="5"/>
        <v>1.1825600000000001</v>
      </c>
      <c r="H355" s="35"/>
      <c r="I355" s="31"/>
      <c r="J355" s="156">
        <v>0</v>
      </c>
    </row>
    <row r="356" spans="1:10" ht="15.75" hidden="1" thickBot="1" x14ac:dyDescent="0.3">
      <c r="A356" s="227"/>
      <c r="B356" s="225"/>
      <c r="C356" s="36" t="s">
        <v>118</v>
      </c>
      <c r="D356" s="47" t="s">
        <v>42</v>
      </c>
      <c r="E356" s="37">
        <v>2.0099999999999998</v>
      </c>
      <c r="F356" s="34">
        <v>0.47499999999999998</v>
      </c>
      <c r="G356" s="34">
        <f t="shared" si="5"/>
        <v>0.95474999999999988</v>
      </c>
      <c r="H356" s="35"/>
      <c r="I356" s="31"/>
      <c r="J356" s="156">
        <v>0</v>
      </c>
    </row>
    <row r="357" spans="1:10" ht="15.75" hidden="1" thickBot="1" x14ac:dyDescent="0.3">
      <c r="A357" s="227"/>
      <c r="B357" s="225"/>
      <c r="C357" s="36" t="s">
        <v>149</v>
      </c>
      <c r="D357" s="47" t="s">
        <v>150</v>
      </c>
      <c r="E357" s="37">
        <v>2.5</v>
      </c>
      <c r="F357" s="31">
        <v>0</v>
      </c>
      <c r="G357" s="34">
        <f t="shared" si="5"/>
        <v>0</v>
      </c>
      <c r="H357" s="35"/>
      <c r="I357" s="31"/>
      <c r="J357" s="156">
        <v>0</v>
      </c>
    </row>
    <row r="358" spans="1:10" ht="15.75" hidden="1" thickBot="1" x14ac:dyDescent="0.3">
      <c r="A358" s="227"/>
      <c r="B358" s="225"/>
      <c r="C358" s="36" t="s">
        <v>151</v>
      </c>
      <c r="D358" s="47" t="s">
        <v>42</v>
      </c>
      <c r="E358" s="37">
        <v>0.5</v>
      </c>
      <c r="F358" s="34">
        <v>9.0439999999999987</v>
      </c>
      <c r="G358" s="34">
        <f t="shared" si="5"/>
        <v>4.5219999999999994</v>
      </c>
      <c r="H358" s="35"/>
      <c r="I358" s="31"/>
      <c r="J358" s="156">
        <v>0</v>
      </c>
    </row>
    <row r="359" spans="1:10" ht="51.75" hidden="1" thickBot="1" x14ac:dyDescent="0.3">
      <c r="A359" s="227"/>
      <c r="B359" s="225"/>
      <c r="C359" s="36" t="s">
        <v>3619</v>
      </c>
      <c r="D359" s="36" t="s">
        <v>124</v>
      </c>
      <c r="E359" s="37">
        <f>1*(E354+E355)</f>
        <v>0.02</v>
      </c>
      <c r="F359" s="34">
        <v>5.5686425499999999</v>
      </c>
      <c r="G359" s="34">
        <f t="shared" si="5"/>
        <v>0.11137285099999999</v>
      </c>
      <c r="H359" s="35"/>
      <c r="I359" s="31"/>
      <c r="J359" s="156">
        <v>0</v>
      </c>
    </row>
    <row r="360" spans="1:10" ht="39" hidden="1" thickBot="1" x14ac:dyDescent="0.3">
      <c r="A360" s="227"/>
      <c r="B360" s="225"/>
      <c r="C360" s="36" t="s">
        <v>125</v>
      </c>
      <c r="D360" s="47" t="s">
        <v>126</v>
      </c>
      <c r="E360" s="37">
        <f>(E354+E355)*20</f>
        <v>0.4</v>
      </c>
      <c r="F360" s="34">
        <v>1.8443850999999998</v>
      </c>
      <c r="G360" s="34">
        <f t="shared" si="5"/>
        <v>0.73775404</v>
      </c>
      <c r="H360" s="35"/>
      <c r="I360" s="31"/>
      <c r="J360" s="156">
        <v>0</v>
      </c>
    </row>
    <row r="361" spans="1:10" ht="15.75" hidden="1" thickBot="1" x14ac:dyDescent="0.3">
      <c r="A361" s="227"/>
      <c r="B361" s="225"/>
      <c r="C361" s="51"/>
      <c r="D361" s="47"/>
      <c r="E361" s="37"/>
      <c r="F361" s="34" t="s">
        <v>572</v>
      </c>
      <c r="G361" s="34" t="str">
        <f t="shared" si="5"/>
        <v/>
      </c>
      <c r="H361" s="35"/>
      <c r="I361" s="31"/>
      <c r="J361" s="156">
        <v>0</v>
      </c>
    </row>
    <row r="362" spans="1:10" ht="26.25" hidden="1" thickBot="1" x14ac:dyDescent="0.3">
      <c r="A362" s="227"/>
      <c r="B362" s="225"/>
      <c r="C362" s="48" t="s">
        <v>127</v>
      </c>
      <c r="D362" s="47"/>
      <c r="E362" s="37"/>
      <c r="F362" s="34" t="s">
        <v>572</v>
      </c>
      <c r="G362" s="34" t="str">
        <f t="shared" si="5"/>
        <v/>
      </c>
      <c r="H362" s="35"/>
      <c r="I362" s="31"/>
      <c r="J362" s="156">
        <v>0</v>
      </c>
    </row>
    <row r="363" spans="1:10" ht="15.75" hidden="1" thickBot="1" x14ac:dyDescent="0.3">
      <c r="A363" s="228"/>
      <c r="B363" s="226"/>
      <c r="C363" s="36"/>
      <c r="D363" s="36"/>
      <c r="E363" s="37"/>
      <c r="F363" s="31" t="s">
        <v>572</v>
      </c>
      <c r="G363" s="31" t="str">
        <f t="shared" si="5"/>
        <v/>
      </c>
      <c r="H363" s="35"/>
      <c r="I363" s="31"/>
      <c r="J363" s="156">
        <v>0</v>
      </c>
    </row>
    <row r="364" spans="1:10" ht="15.75" hidden="1" thickBot="1" x14ac:dyDescent="0.3">
      <c r="A364" s="221" t="s">
        <v>152</v>
      </c>
      <c r="B364" s="224" t="str">
        <f>INDEX(Orçamentária!A:B,MATCH(Composições!A364,Orçamentária!A:A,0),2)</f>
        <v>Impermeabilização de superfície com revestimento bicomponente semi flexível</v>
      </c>
      <c r="C364" s="41"/>
      <c r="D364" s="26" t="str">
        <f>TRIM(INDEX(Orçamentária!C:C,MATCH(Composições!A364,Orçamentária!A:A,0),1))</f>
        <v>m2</v>
      </c>
      <c r="E364" s="27"/>
      <c r="F364" s="42" t="s">
        <v>572</v>
      </c>
      <c r="G364" s="28" t="str">
        <f t="shared" si="5"/>
        <v/>
      </c>
      <c r="H364" s="29"/>
      <c r="I364" s="30"/>
      <c r="J364" s="156">
        <v>0</v>
      </c>
    </row>
    <row r="365" spans="1:10" ht="15.75" hidden="1" thickBot="1" x14ac:dyDescent="0.3">
      <c r="A365" s="222"/>
      <c r="B365" s="225"/>
      <c r="C365" s="32"/>
      <c r="D365" s="32"/>
      <c r="E365" s="33"/>
      <c r="F365" s="43" t="s">
        <v>572</v>
      </c>
      <c r="G365" s="31" t="str">
        <f t="shared" si="5"/>
        <v/>
      </c>
      <c r="H365" s="35"/>
      <c r="I365" s="31"/>
      <c r="J365" s="156">
        <v>0</v>
      </c>
    </row>
    <row r="366" spans="1:10" ht="26.25" hidden="1" thickBot="1" x14ac:dyDescent="0.3">
      <c r="A366" s="222"/>
      <c r="B366" s="225"/>
      <c r="C366" s="36" t="s">
        <v>153</v>
      </c>
      <c r="D366" s="36" t="s">
        <v>42</v>
      </c>
      <c r="E366" s="37">
        <v>3.2</v>
      </c>
      <c r="F366" s="34">
        <v>2.6789999999999998</v>
      </c>
      <c r="G366" s="31">
        <f t="shared" si="5"/>
        <v>8.5727999999999991</v>
      </c>
      <c r="H366" s="39">
        <f>SUM(G366:G368)</f>
        <v>22.415364</v>
      </c>
      <c r="I366" s="40"/>
      <c r="J366" s="156">
        <v>0</v>
      </c>
    </row>
    <row r="367" spans="1:10" ht="15.75" hidden="1" thickBot="1" x14ac:dyDescent="0.3">
      <c r="A367" s="222"/>
      <c r="B367" s="225"/>
      <c r="C367" s="36" t="s">
        <v>50</v>
      </c>
      <c r="D367" s="50" t="s">
        <v>12</v>
      </c>
      <c r="E367" s="37">
        <v>0.108</v>
      </c>
      <c r="F367" s="31">
        <v>19.3705</v>
      </c>
      <c r="G367" s="31">
        <f t="shared" si="5"/>
        <v>2.0920139999999998</v>
      </c>
      <c r="H367" s="35"/>
      <c r="I367" s="31"/>
      <c r="J367" s="156">
        <v>0</v>
      </c>
    </row>
    <row r="368" spans="1:10" ht="15.75" hidden="1" thickBot="1" x14ac:dyDescent="0.3">
      <c r="A368" s="222"/>
      <c r="B368" s="225"/>
      <c r="C368" s="36" t="s">
        <v>154</v>
      </c>
      <c r="D368" s="50" t="s">
        <v>12</v>
      </c>
      <c r="E368" s="37">
        <v>0.53200000000000003</v>
      </c>
      <c r="F368" s="31">
        <v>22.087499999999999</v>
      </c>
      <c r="G368" s="31">
        <f t="shared" si="5"/>
        <v>11.75055</v>
      </c>
      <c r="H368" s="35"/>
      <c r="I368" s="31"/>
      <c r="J368" s="156">
        <v>0</v>
      </c>
    </row>
    <row r="369" spans="1:10" ht="15.75" hidden="1" thickBot="1" x14ac:dyDescent="0.3">
      <c r="A369" s="223"/>
      <c r="B369" s="226"/>
      <c r="C369" s="36"/>
      <c r="D369" s="36"/>
      <c r="E369" s="37"/>
      <c r="F369" s="31" t="s">
        <v>572</v>
      </c>
      <c r="G369" s="31" t="str">
        <f t="shared" si="5"/>
        <v/>
      </c>
      <c r="H369" s="35"/>
      <c r="I369" s="31"/>
      <c r="J369" s="156">
        <v>0</v>
      </c>
    </row>
    <row r="370" spans="1:10" ht="15.75" thickBot="1" x14ac:dyDescent="0.3">
      <c r="A370" s="221" t="s">
        <v>155</v>
      </c>
      <c r="B370" s="224" t="str">
        <f>INDEX(Orçamentária!A:B,MATCH(Composições!A370,Orçamentária!A:A,0),2)</f>
        <v>Alvenaria de vedação</v>
      </c>
      <c r="C370" s="41"/>
      <c r="D370" s="26" t="str">
        <f>TRIM(INDEX(Orçamentária!C:C,MATCH(Composições!A370,Orçamentária!A:A,0),1))</f>
        <v>m2</v>
      </c>
      <c r="E370" s="27"/>
      <c r="F370" s="42" t="s">
        <v>572</v>
      </c>
      <c r="G370" s="28" t="str">
        <f t="shared" si="5"/>
        <v/>
      </c>
      <c r="H370" s="29"/>
      <c r="I370" s="30"/>
      <c r="J370" s="156">
        <v>0.52000000000000013</v>
      </c>
    </row>
    <row r="371" spans="1:10" x14ac:dyDescent="0.25">
      <c r="A371" s="222"/>
      <c r="B371" s="225"/>
      <c r="C371" s="32"/>
      <c r="D371" s="32"/>
      <c r="E371" s="33"/>
      <c r="F371" s="43" t="s">
        <v>572</v>
      </c>
      <c r="G371" s="31" t="str">
        <f t="shared" si="5"/>
        <v/>
      </c>
      <c r="H371" s="35"/>
      <c r="I371" s="31"/>
      <c r="J371" s="156">
        <v>0.52000000000000013</v>
      </c>
    </row>
    <row r="372" spans="1:10" ht="25.5" x14ac:dyDescent="0.25">
      <c r="A372" s="222"/>
      <c r="B372" s="225"/>
      <c r="C372" s="36" t="s">
        <v>3607</v>
      </c>
      <c r="D372" s="47" t="s">
        <v>156</v>
      </c>
      <c r="E372" s="37">
        <v>2.7900000000000001E-2</v>
      </c>
      <c r="F372" s="34">
        <v>750.5</v>
      </c>
      <c r="G372" s="34">
        <f t="shared" si="5"/>
        <v>20.938950000000002</v>
      </c>
      <c r="H372" s="39">
        <f>SUM(G372:G377)</f>
        <v>68.71591648023761</v>
      </c>
      <c r="I372" s="40"/>
      <c r="J372" s="156">
        <v>0.52000000000000013</v>
      </c>
    </row>
    <row r="373" spans="1:10" ht="25.5" x14ac:dyDescent="0.25">
      <c r="A373" s="222"/>
      <c r="B373" s="225"/>
      <c r="C373" s="36" t="s">
        <v>157</v>
      </c>
      <c r="D373" s="47" t="s">
        <v>94</v>
      </c>
      <c r="E373" s="37">
        <v>0.42</v>
      </c>
      <c r="F373" s="34">
        <v>3.6479999999999997</v>
      </c>
      <c r="G373" s="34">
        <f t="shared" si="5"/>
        <v>1.5321599999999997</v>
      </c>
      <c r="H373" s="35"/>
      <c r="I373" s="31"/>
      <c r="J373" s="156">
        <v>0.52000000000000013</v>
      </c>
    </row>
    <row r="374" spans="1:10" x14ac:dyDescent="0.25">
      <c r="A374" s="222"/>
      <c r="B374" s="225"/>
      <c r="C374" s="36" t="s">
        <v>158</v>
      </c>
      <c r="D374" s="47" t="s">
        <v>159</v>
      </c>
      <c r="E374" s="37">
        <v>5.0000000000000001E-3</v>
      </c>
      <c r="F374" s="34">
        <v>36.536999999999999</v>
      </c>
      <c r="G374" s="34">
        <f t="shared" si="5"/>
        <v>0.18268499999999999</v>
      </c>
      <c r="H374" s="35"/>
      <c r="I374" s="31"/>
      <c r="J374" s="156">
        <v>0.52000000000000013</v>
      </c>
    </row>
    <row r="375" spans="1:10" ht="51" x14ac:dyDescent="0.25">
      <c r="A375" s="222"/>
      <c r="B375" s="225"/>
      <c r="C375" s="36" t="s">
        <v>160</v>
      </c>
      <c r="D375" s="47" t="s">
        <v>112</v>
      </c>
      <c r="E375" s="37">
        <v>9.7999999999999997E-3</v>
      </c>
      <c r="F375" s="34">
        <v>472.33356941199997</v>
      </c>
      <c r="G375" s="34">
        <f t="shared" si="5"/>
        <v>4.6288689802375993</v>
      </c>
      <c r="H375" s="35"/>
      <c r="I375" s="31"/>
      <c r="J375" s="156">
        <v>0.52000000000000013</v>
      </c>
    </row>
    <row r="376" spans="1:10" x14ac:dyDescent="0.25">
      <c r="A376" s="222"/>
      <c r="B376" s="225"/>
      <c r="C376" s="36" t="s">
        <v>22</v>
      </c>
      <c r="D376" s="47" t="s">
        <v>12</v>
      </c>
      <c r="E376" s="37">
        <v>1.37</v>
      </c>
      <c r="F376" s="31">
        <v>22.087499999999999</v>
      </c>
      <c r="G376" s="31">
        <f t="shared" si="5"/>
        <v>30.259875000000001</v>
      </c>
      <c r="H376" s="35"/>
      <c r="I376" s="31"/>
      <c r="J376" s="156">
        <v>0.52000000000000013</v>
      </c>
    </row>
    <row r="377" spans="1:10" x14ac:dyDescent="0.25">
      <c r="A377" s="222"/>
      <c r="B377" s="225"/>
      <c r="C377" s="36" t="s">
        <v>23</v>
      </c>
      <c r="D377" s="47" t="s">
        <v>12</v>
      </c>
      <c r="E377" s="37">
        <v>0.68500000000000005</v>
      </c>
      <c r="F377" s="31">
        <v>16.311500000000002</v>
      </c>
      <c r="G377" s="31">
        <f t="shared" si="5"/>
        <v>11.173377500000003</v>
      </c>
      <c r="H377" s="35"/>
      <c r="I377" s="31"/>
      <c r="J377" s="156">
        <v>0.52000000000000013</v>
      </c>
    </row>
    <row r="378" spans="1:10" ht="15.75" thickBot="1" x14ac:dyDescent="0.3">
      <c r="A378" s="223"/>
      <c r="B378" s="226"/>
      <c r="C378" s="36"/>
      <c r="D378" s="36"/>
      <c r="E378" s="37"/>
      <c r="F378" s="31" t="s">
        <v>572</v>
      </c>
      <c r="G378" s="31" t="str">
        <f t="shared" si="5"/>
        <v/>
      </c>
      <c r="H378" s="35"/>
      <c r="I378" s="31"/>
      <c r="J378" s="156">
        <v>0.52000000000000013</v>
      </c>
    </row>
    <row r="379" spans="1:10" ht="15.75" hidden="1" thickBot="1" x14ac:dyDescent="0.3">
      <c r="A379" s="221" t="s">
        <v>161</v>
      </c>
      <c r="B379" s="224" t="str">
        <f>INDEX(Orçamentária!A:B,MATCH(Composições!A379,Orçamentária!A:A,0),2)</f>
        <v>Fechamento ou shaft em gesso acartonado tipo drywall</v>
      </c>
      <c r="C379" s="41"/>
      <c r="D379" s="26" t="str">
        <f>TRIM(INDEX(Orçamentária!C:C,MATCH(Composições!A379,Orçamentária!A:A,0),1))</f>
        <v>m2</v>
      </c>
      <c r="E379" s="27"/>
      <c r="F379" s="42" t="s">
        <v>572</v>
      </c>
      <c r="G379" s="28" t="str">
        <f t="shared" si="5"/>
        <v/>
      </c>
      <c r="H379" s="29"/>
      <c r="I379" s="30"/>
      <c r="J379" s="156">
        <v>0</v>
      </c>
    </row>
    <row r="380" spans="1:10" ht="15.75" hidden="1" thickBot="1" x14ac:dyDescent="0.3">
      <c r="A380" s="222"/>
      <c r="B380" s="225"/>
      <c r="C380" s="32"/>
      <c r="D380" s="32"/>
      <c r="E380" s="33"/>
      <c r="F380" s="43" t="s">
        <v>572</v>
      </c>
      <c r="G380" s="31" t="str">
        <f t="shared" si="5"/>
        <v/>
      </c>
      <c r="H380" s="35"/>
      <c r="I380" s="31"/>
      <c r="J380" s="156">
        <v>0</v>
      </c>
    </row>
    <row r="381" spans="1:10" ht="26.25" hidden="1" thickBot="1" x14ac:dyDescent="0.3">
      <c r="A381" s="222"/>
      <c r="B381" s="225"/>
      <c r="C381" s="36" t="s">
        <v>162</v>
      </c>
      <c r="D381" s="36" t="s">
        <v>159</v>
      </c>
      <c r="E381" s="37">
        <v>2.4299999999999999E-2</v>
      </c>
      <c r="F381" s="34">
        <v>42.483999999999995</v>
      </c>
      <c r="G381" s="34">
        <f t="shared" si="5"/>
        <v>1.0323611999999998</v>
      </c>
      <c r="H381" s="39">
        <f>SUM(G381:G391)</f>
        <v>46.912794550000001</v>
      </c>
      <c r="I381" s="40"/>
      <c r="J381" s="156">
        <v>0</v>
      </c>
    </row>
    <row r="382" spans="1:10" ht="26.25" hidden="1" thickBot="1" x14ac:dyDescent="0.3">
      <c r="A382" s="222"/>
      <c r="B382" s="225"/>
      <c r="C382" s="36" t="s">
        <v>3788</v>
      </c>
      <c r="D382" s="36" t="s">
        <v>96</v>
      </c>
      <c r="E382" s="37">
        <v>1.0529999999999999</v>
      </c>
      <c r="F382" s="34">
        <v>11.865499999999999</v>
      </c>
      <c r="G382" s="34">
        <f t="shared" si="5"/>
        <v>12.494371499999998</v>
      </c>
      <c r="H382" s="45"/>
      <c r="I382" s="46"/>
      <c r="J382" s="156">
        <v>0</v>
      </c>
    </row>
    <row r="383" spans="1:10" ht="26.25" hidden="1" thickBot="1" x14ac:dyDescent="0.3">
      <c r="A383" s="222"/>
      <c r="B383" s="225"/>
      <c r="C383" s="36" t="s">
        <v>163</v>
      </c>
      <c r="D383" s="36" t="s">
        <v>94</v>
      </c>
      <c r="E383" s="37">
        <v>0.76039999999999996</v>
      </c>
      <c r="F383" s="34">
        <v>7.4574999999999996</v>
      </c>
      <c r="G383" s="34">
        <f t="shared" si="5"/>
        <v>5.6706829999999995</v>
      </c>
      <c r="H383" s="45"/>
      <c r="I383" s="46"/>
      <c r="J383" s="156">
        <v>0</v>
      </c>
    </row>
    <row r="384" spans="1:10" ht="26.25" hidden="1" thickBot="1" x14ac:dyDescent="0.3">
      <c r="A384" s="222"/>
      <c r="B384" s="225"/>
      <c r="C384" s="36" t="s">
        <v>164</v>
      </c>
      <c r="D384" s="36" t="s">
        <v>94</v>
      </c>
      <c r="E384" s="37">
        <v>1.9910000000000001</v>
      </c>
      <c r="F384" s="34">
        <v>8.4644999999999992</v>
      </c>
      <c r="G384" s="34">
        <f t="shared" si="5"/>
        <v>16.852819499999999</v>
      </c>
      <c r="H384" s="45"/>
      <c r="I384" s="46"/>
      <c r="J384" s="156">
        <v>0</v>
      </c>
    </row>
    <row r="385" spans="1:10" ht="26.25" hidden="1" thickBot="1" x14ac:dyDescent="0.3">
      <c r="A385" s="222"/>
      <c r="B385" s="225"/>
      <c r="C385" s="36" t="s">
        <v>165</v>
      </c>
      <c r="D385" s="36" t="s">
        <v>94</v>
      </c>
      <c r="E385" s="37">
        <v>1.2513000000000001</v>
      </c>
      <c r="F385" s="34">
        <v>0.13300000000000001</v>
      </c>
      <c r="G385" s="34">
        <f t="shared" si="5"/>
        <v>0.16642290000000001</v>
      </c>
      <c r="H385" s="45"/>
      <c r="I385" s="46"/>
      <c r="J385" s="156">
        <v>0</v>
      </c>
    </row>
    <row r="386" spans="1:10" ht="26.25" hidden="1" thickBot="1" x14ac:dyDescent="0.3">
      <c r="A386" s="222"/>
      <c r="B386" s="225"/>
      <c r="C386" s="36" t="s">
        <v>166</v>
      </c>
      <c r="D386" s="36" t="s">
        <v>94</v>
      </c>
      <c r="E386" s="37">
        <v>0.74070000000000003</v>
      </c>
      <c r="F386" s="34">
        <v>1.7575000000000001</v>
      </c>
      <c r="G386" s="34">
        <f t="shared" si="5"/>
        <v>1.3017802500000002</v>
      </c>
      <c r="H386" s="45"/>
      <c r="I386" s="46"/>
      <c r="J386" s="156">
        <v>0</v>
      </c>
    </row>
    <row r="387" spans="1:10" ht="39" hidden="1" thickBot="1" x14ac:dyDescent="0.3">
      <c r="A387" s="222"/>
      <c r="B387" s="225"/>
      <c r="C387" s="36" t="s">
        <v>3786</v>
      </c>
      <c r="D387" s="36" t="s">
        <v>42</v>
      </c>
      <c r="E387" s="37">
        <v>0.51639999999999997</v>
      </c>
      <c r="F387" s="34">
        <v>2.3559999999999999</v>
      </c>
      <c r="G387" s="34">
        <f t="shared" si="5"/>
        <v>1.2166383999999999</v>
      </c>
      <c r="H387" s="45"/>
      <c r="I387" s="46"/>
      <c r="J387" s="156">
        <v>0</v>
      </c>
    </row>
    <row r="388" spans="1:10" ht="26.25" hidden="1" thickBot="1" x14ac:dyDescent="0.3">
      <c r="A388" s="222"/>
      <c r="B388" s="225"/>
      <c r="C388" s="36" t="s">
        <v>167</v>
      </c>
      <c r="D388" s="36" t="s">
        <v>20</v>
      </c>
      <c r="E388" s="37">
        <v>10.0039</v>
      </c>
      <c r="F388" s="34">
        <v>4.7500000000000001E-2</v>
      </c>
      <c r="G388" s="34">
        <f t="shared" si="5"/>
        <v>0.47518525</v>
      </c>
      <c r="H388" s="45"/>
      <c r="I388" s="46"/>
      <c r="J388" s="156">
        <v>0</v>
      </c>
    </row>
    <row r="389" spans="1:10" ht="26.25" hidden="1" thickBot="1" x14ac:dyDescent="0.3">
      <c r="A389" s="222"/>
      <c r="B389" s="225"/>
      <c r="C389" s="36" t="s">
        <v>168</v>
      </c>
      <c r="D389" s="36" t="s">
        <v>20</v>
      </c>
      <c r="E389" s="37">
        <v>0.80759999999999998</v>
      </c>
      <c r="F389" s="34">
        <v>0.11399999999999999</v>
      </c>
      <c r="G389" s="34">
        <f t="shared" si="5"/>
        <v>9.2066399999999993E-2</v>
      </c>
      <c r="H389" s="45"/>
      <c r="I389" s="46"/>
      <c r="J389" s="156">
        <v>0</v>
      </c>
    </row>
    <row r="390" spans="1:10" ht="15.75" hidden="1" thickBot="1" x14ac:dyDescent="0.3">
      <c r="A390" s="222"/>
      <c r="B390" s="225"/>
      <c r="C390" s="36" t="s">
        <v>27</v>
      </c>
      <c r="D390" s="36" t="s">
        <v>12</v>
      </c>
      <c r="E390" s="37">
        <v>0.36359999999999998</v>
      </c>
      <c r="F390" s="31">
        <v>16.852999999999998</v>
      </c>
      <c r="G390" s="34">
        <f t="shared" ref="G390:G453" si="6">IF(ISNUMBER(F390),E390*F390,"")</f>
        <v>6.1277507999999985</v>
      </c>
      <c r="H390" s="45"/>
      <c r="I390" s="46"/>
      <c r="J390" s="156">
        <v>0</v>
      </c>
    </row>
    <row r="391" spans="1:10" ht="15.75" hidden="1" thickBot="1" x14ac:dyDescent="0.3">
      <c r="A391" s="222"/>
      <c r="B391" s="225"/>
      <c r="C391" s="36" t="s">
        <v>23</v>
      </c>
      <c r="D391" s="36" t="s">
        <v>12</v>
      </c>
      <c r="E391" s="37">
        <v>9.0899999999999995E-2</v>
      </c>
      <c r="F391" s="31">
        <v>16.311500000000002</v>
      </c>
      <c r="G391" s="34">
        <f t="shared" si="6"/>
        <v>1.4827153500000001</v>
      </c>
      <c r="H391" s="45"/>
      <c r="I391" s="46"/>
      <c r="J391" s="156">
        <v>0</v>
      </c>
    </row>
    <row r="392" spans="1:10" ht="15.75" hidden="1" thickBot="1" x14ac:dyDescent="0.3">
      <c r="A392" s="223"/>
      <c r="B392" s="226"/>
      <c r="C392" s="36"/>
      <c r="D392" s="36"/>
      <c r="E392" s="37"/>
      <c r="F392" s="31" t="s">
        <v>572</v>
      </c>
      <c r="G392" s="31" t="str">
        <f t="shared" si="6"/>
        <v/>
      </c>
      <c r="H392" s="35"/>
      <c r="I392" s="31"/>
      <c r="J392" s="156">
        <v>0</v>
      </c>
    </row>
    <row r="393" spans="1:10" ht="15.75" hidden="1" thickBot="1" x14ac:dyDescent="0.3">
      <c r="A393" s="221" t="s">
        <v>169</v>
      </c>
      <c r="B393" s="224" t="str">
        <f>INDEX(Orçamentária!A:B,MATCH(Composições!A393,Orçamentária!A:A,0),2)</f>
        <v>Fixação (encunhamento) de Alvenaria de Vedação</v>
      </c>
      <c r="C393" s="41"/>
      <c r="D393" s="26" t="str">
        <f>TRIM(INDEX(Orçamentária!C:C,MATCH(Composições!A393,Orçamentária!A:A,0),1))</f>
        <v>m</v>
      </c>
      <c r="E393" s="27"/>
      <c r="F393" s="42" t="s">
        <v>572</v>
      </c>
      <c r="G393" s="28" t="str">
        <f t="shared" si="6"/>
        <v/>
      </c>
      <c r="H393" s="29"/>
      <c r="I393" s="30"/>
      <c r="J393" s="156">
        <v>0</v>
      </c>
    </row>
    <row r="394" spans="1:10" ht="15.75" hidden="1" thickBot="1" x14ac:dyDescent="0.3">
      <c r="A394" s="222"/>
      <c r="B394" s="225"/>
      <c r="C394" s="32"/>
      <c r="D394" s="32"/>
      <c r="E394" s="33"/>
      <c r="F394" s="43" t="s">
        <v>572</v>
      </c>
      <c r="G394" s="31" t="str">
        <f t="shared" si="6"/>
        <v/>
      </c>
      <c r="H394" s="35"/>
      <c r="I394" s="31"/>
      <c r="J394" s="156">
        <v>0</v>
      </c>
    </row>
    <row r="395" spans="1:10" ht="15.75" hidden="1" thickBot="1" x14ac:dyDescent="0.3">
      <c r="A395" s="222"/>
      <c r="B395" s="225"/>
      <c r="C395" s="36" t="s">
        <v>3611</v>
      </c>
      <c r="D395" s="47" t="s">
        <v>20</v>
      </c>
      <c r="E395" s="37">
        <v>11.2</v>
      </c>
      <c r="F395" s="34">
        <v>0.64600000000000002</v>
      </c>
      <c r="G395" s="31">
        <f t="shared" si="6"/>
        <v>7.2351999999999999</v>
      </c>
      <c r="H395" s="39">
        <f>SUM(G395:G398)</f>
        <v>23.0120890648552</v>
      </c>
      <c r="I395" s="40"/>
      <c r="J395" s="156">
        <v>0</v>
      </c>
    </row>
    <row r="396" spans="1:10" ht="51.75" hidden="1" thickBot="1" x14ac:dyDescent="0.3">
      <c r="A396" s="222"/>
      <c r="B396" s="225"/>
      <c r="C396" s="36" t="s">
        <v>170</v>
      </c>
      <c r="D396" s="47" t="s">
        <v>112</v>
      </c>
      <c r="E396" s="37">
        <v>5.1999999999999998E-3</v>
      </c>
      <c r="F396" s="34">
        <v>454.53510862600001</v>
      </c>
      <c r="G396" s="31">
        <f t="shared" si="6"/>
        <v>2.3635825648552</v>
      </c>
      <c r="H396" s="45"/>
      <c r="I396" s="46"/>
      <c r="J396" s="156">
        <v>0</v>
      </c>
    </row>
    <row r="397" spans="1:10" ht="15.75" hidden="1" thickBot="1" x14ac:dyDescent="0.3">
      <c r="A397" s="222"/>
      <c r="B397" s="225"/>
      <c r="C397" s="36" t="s">
        <v>22</v>
      </c>
      <c r="D397" s="47" t="s">
        <v>12</v>
      </c>
      <c r="E397" s="37">
        <v>0.52900000000000003</v>
      </c>
      <c r="F397" s="31">
        <v>22.087499999999999</v>
      </c>
      <c r="G397" s="31">
        <f t="shared" si="6"/>
        <v>11.6842875</v>
      </c>
      <c r="H397" s="45"/>
      <c r="I397" s="46"/>
      <c r="J397" s="156">
        <v>0</v>
      </c>
    </row>
    <row r="398" spans="1:10" ht="15.75" hidden="1" thickBot="1" x14ac:dyDescent="0.3">
      <c r="A398" s="222"/>
      <c r="B398" s="225"/>
      <c r="C398" s="36" t="s">
        <v>23</v>
      </c>
      <c r="D398" s="47" t="s">
        <v>12</v>
      </c>
      <c r="E398" s="37">
        <v>0.106</v>
      </c>
      <c r="F398" s="31">
        <v>16.311500000000002</v>
      </c>
      <c r="G398" s="31">
        <f t="shared" si="6"/>
        <v>1.7290190000000003</v>
      </c>
      <c r="H398" s="45"/>
      <c r="I398" s="46"/>
      <c r="J398" s="156">
        <v>0</v>
      </c>
    </row>
    <row r="399" spans="1:10" ht="15.75" hidden="1" thickBot="1" x14ac:dyDescent="0.3">
      <c r="A399" s="222"/>
      <c r="B399" s="225"/>
      <c r="C399" s="36"/>
      <c r="D399" s="47"/>
      <c r="E399" s="37"/>
      <c r="F399" s="34" t="s">
        <v>572</v>
      </c>
      <c r="G399" s="34" t="str">
        <f t="shared" si="6"/>
        <v/>
      </c>
      <c r="H399" s="45"/>
      <c r="I399" s="46"/>
      <c r="J399" s="156">
        <v>0</v>
      </c>
    </row>
    <row r="400" spans="1:10" ht="15.75" hidden="1" thickBot="1" x14ac:dyDescent="0.3">
      <c r="A400" s="221" t="s">
        <v>171</v>
      </c>
      <c r="B400" s="224" t="str">
        <f>INDEX(Orçamentária!A:B,MATCH(Composições!A400,Orçamentária!A:A,0),2)</f>
        <v>Parede em gesso acartonado (drywall)</v>
      </c>
      <c r="C400" s="41"/>
      <c r="D400" s="26" t="str">
        <f>TRIM(INDEX(Orçamentária!C:C,MATCH(Composições!A400,Orçamentária!A:A,0),1))</f>
        <v>m2</v>
      </c>
      <c r="E400" s="27"/>
      <c r="F400" s="42" t="s">
        <v>572</v>
      </c>
      <c r="G400" s="28" t="str">
        <f t="shared" si="6"/>
        <v/>
      </c>
      <c r="H400" s="29"/>
      <c r="I400" s="30"/>
      <c r="J400" s="156">
        <v>0</v>
      </c>
    </row>
    <row r="401" spans="1:10" ht="15.75" hidden="1" thickBot="1" x14ac:dyDescent="0.3">
      <c r="A401" s="222"/>
      <c r="B401" s="225"/>
      <c r="C401" s="32"/>
      <c r="D401" s="32"/>
      <c r="E401" s="33"/>
      <c r="F401" s="43" t="s">
        <v>572</v>
      </c>
      <c r="G401" s="31" t="str">
        <f t="shared" si="6"/>
        <v/>
      </c>
      <c r="H401" s="35"/>
      <c r="I401" s="31"/>
      <c r="J401" s="156">
        <v>0</v>
      </c>
    </row>
    <row r="402" spans="1:10" ht="26.25" hidden="1" thickBot="1" x14ac:dyDescent="0.3">
      <c r="A402" s="222"/>
      <c r="B402" s="225"/>
      <c r="C402" s="36" t="s">
        <v>172</v>
      </c>
      <c r="D402" s="47" t="s">
        <v>159</v>
      </c>
      <c r="E402" s="37">
        <v>2.4299999999999999E-2</v>
      </c>
      <c r="F402" s="34">
        <v>42.483999999999995</v>
      </c>
      <c r="G402" s="31">
        <f t="shared" si="6"/>
        <v>1.0323611999999998</v>
      </c>
      <c r="H402" s="39">
        <f>SUM(G402:G412)</f>
        <v>65.05954539999999</v>
      </c>
      <c r="I402" s="40"/>
      <c r="J402" s="156">
        <v>0</v>
      </c>
    </row>
    <row r="403" spans="1:10" ht="26.25" hidden="1" thickBot="1" x14ac:dyDescent="0.3">
      <c r="A403" s="222"/>
      <c r="B403" s="225"/>
      <c r="C403" s="36" t="s">
        <v>3788</v>
      </c>
      <c r="D403" s="47" t="s">
        <v>96</v>
      </c>
      <c r="E403" s="37">
        <v>2.1059999999999999</v>
      </c>
      <c r="F403" s="34">
        <v>11.865499999999999</v>
      </c>
      <c r="G403" s="31">
        <f t="shared" si="6"/>
        <v>24.988742999999996</v>
      </c>
      <c r="H403" s="35"/>
      <c r="I403" s="31"/>
      <c r="J403" s="156">
        <v>0</v>
      </c>
    </row>
    <row r="404" spans="1:10" ht="26.25" hidden="1" thickBot="1" x14ac:dyDescent="0.3">
      <c r="A404" s="222"/>
      <c r="B404" s="225"/>
      <c r="C404" s="36" t="s">
        <v>173</v>
      </c>
      <c r="D404" s="47" t="s">
        <v>94</v>
      </c>
      <c r="E404" s="37">
        <v>0.76039999999999996</v>
      </c>
      <c r="F404" s="34">
        <v>7.4574999999999996</v>
      </c>
      <c r="G404" s="31">
        <f t="shared" si="6"/>
        <v>5.6706829999999995</v>
      </c>
      <c r="H404" s="35"/>
      <c r="I404" s="31"/>
      <c r="J404" s="156">
        <v>0</v>
      </c>
    </row>
    <row r="405" spans="1:10" ht="26.25" hidden="1" thickBot="1" x14ac:dyDescent="0.3">
      <c r="A405" s="222"/>
      <c r="B405" s="225"/>
      <c r="C405" s="36" t="s">
        <v>174</v>
      </c>
      <c r="D405" s="47" t="s">
        <v>94</v>
      </c>
      <c r="E405" s="37">
        <v>1.9910000000000001</v>
      </c>
      <c r="F405" s="34">
        <v>8.4644999999999992</v>
      </c>
      <c r="G405" s="31">
        <f t="shared" si="6"/>
        <v>16.852819499999999</v>
      </c>
      <c r="H405" s="35"/>
      <c r="I405" s="31"/>
      <c r="J405" s="156">
        <v>0</v>
      </c>
    </row>
    <row r="406" spans="1:10" ht="26.25" hidden="1" thickBot="1" x14ac:dyDescent="0.3">
      <c r="A406" s="222"/>
      <c r="B406" s="225"/>
      <c r="C406" s="36" t="s">
        <v>175</v>
      </c>
      <c r="D406" s="47" t="s">
        <v>94</v>
      </c>
      <c r="E406" s="37">
        <v>2.5026999999999999</v>
      </c>
      <c r="F406" s="34">
        <v>0.13300000000000001</v>
      </c>
      <c r="G406" s="31">
        <f t="shared" si="6"/>
        <v>0.33285910000000002</v>
      </c>
      <c r="H406" s="35"/>
      <c r="I406" s="31"/>
      <c r="J406" s="156">
        <v>0</v>
      </c>
    </row>
    <row r="407" spans="1:10" ht="26.25" hidden="1" thickBot="1" x14ac:dyDescent="0.3">
      <c r="A407" s="222"/>
      <c r="B407" s="225"/>
      <c r="C407" s="36" t="s">
        <v>176</v>
      </c>
      <c r="D407" s="47" t="s">
        <v>94</v>
      </c>
      <c r="E407" s="37">
        <v>0.74070000000000003</v>
      </c>
      <c r="F407" s="34">
        <v>1.7575000000000001</v>
      </c>
      <c r="G407" s="31">
        <f t="shared" si="6"/>
        <v>1.3017802500000002</v>
      </c>
      <c r="H407" s="35"/>
      <c r="I407" s="31"/>
      <c r="J407" s="156">
        <v>0</v>
      </c>
    </row>
    <row r="408" spans="1:10" ht="39" hidden="1" thickBot="1" x14ac:dyDescent="0.3">
      <c r="A408" s="222"/>
      <c r="B408" s="225"/>
      <c r="C408" s="36" t="s">
        <v>3786</v>
      </c>
      <c r="D408" s="47" t="s">
        <v>42</v>
      </c>
      <c r="E408" s="37">
        <v>1.0327</v>
      </c>
      <c r="F408" s="34">
        <v>2.3559999999999999</v>
      </c>
      <c r="G408" s="31">
        <f t="shared" si="6"/>
        <v>2.4330411999999999</v>
      </c>
      <c r="H408" s="35"/>
      <c r="I408" s="31"/>
      <c r="J408" s="156">
        <v>0</v>
      </c>
    </row>
    <row r="409" spans="1:10" ht="26.25" hidden="1" thickBot="1" x14ac:dyDescent="0.3">
      <c r="A409" s="222"/>
      <c r="B409" s="225"/>
      <c r="C409" s="36" t="s">
        <v>177</v>
      </c>
      <c r="D409" s="47" t="s">
        <v>20</v>
      </c>
      <c r="E409" s="37">
        <v>20.0077</v>
      </c>
      <c r="F409" s="34">
        <v>4.7500000000000001E-2</v>
      </c>
      <c r="G409" s="31">
        <f t="shared" si="6"/>
        <v>0.95036575000000001</v>
      </c>
      <c r="H409" s="35"/>
      <c r="I409" s="31"/>
      <c r="J409" s="156">
        <v>0</v>
      </c>
    </row>
    <row r="410" spans="1:10" ht="26.25" hidden="1" thickBot="1" x14ac:dyDescent="0.3">
      <c r="A410" s="222"/>
      <c r="B410" s="225"/>
      <c r="C410" s="36" t="s">
        <v>178</v>
      </c>
      <c r="D410" s="47" t="s">
        <v>20</v>
      </c>
      <c r="E410" s="37">
        <v>0.80759999999999998</v>
      </c>
      <c r="F410" s="34">
        <v>0.11399999999999999</v>
      </c>
      <c r="G410" s="31">
        <f t="shared" si="6"/>
        <v>9.2066399999999993E-2</v>
      </c>
      <c r="H410" s="35"/>
      <c r="I410" s="31"/>
      <c r="J410" s="156">
        <v>0</v>
      </c>
    </row>
    <row r="411" spans="1:10" ht="15.75" hidden="1" thickBot="1" x14ac:dyDescent="0.3">
      <c r="A411" s="222"/>
      <c r="B411" s="225"/>
      <c r="C411" s="36" t="s">
        <v>27</v>
      </c>
      <c r="D411" s="47" t="s">
        <v>12</v>
      </c>
      <c r="E411" s="37">
        <v>0.54490000000000005</v>
      </c>
      <c r="F411" s="31">
        <v>16.852999999999998</v>
      </c>
      <c r="G411" s="31">
        <f t="shared" si="6"/>
        <v>9.1831996999999994</v>
      </c>
      <c r="H411" s="35"/>
      <c r="I411" s="31"/>
      <c r="J411" s="156">
        <v>0</v>
      </c>
    </row>
    <row r="412" spans="1:10" ht="15.75" hidden="1" thickBot="1" x14ac:dyDescent="0.3">
      <c r="A412" s="222"/>
      <c r="B412" s="225"/>
      <c r="C412" s="36" t="s">
        <v>23</v>
      </c>
      <c r="D412" s="47" t="s">
        <v>12</v>
      </c>
      <c r="E412" s="37">
        <v>0.13619999999999999</v>
      </c>
      <c r="F412" s="31">
        <v>16.311500000000002</v>
      </c>
      <c r="G412" s="31">
        <f t="shared" si="6"/>
        <v>2.2216263000000001</v>
      </c>
      <c r="H412" s="35"/>
      <c r="I412" s="31"/>
      <c r="J412" s="156">
        <v>0</v>
      </c>
    </row>
    <row r="413" spans="1:10" ht="15.75" hidden="1" thickBot="1" x14ac:dyDescent="0.3">
      <c r="A413" s="223"/>
      <c r="B413" s="226"/>
      <c r="C413" s="36"/>
      <c r="D413" s="36"/>
      <c r="E413" s="37"/>
      <c r="F413" s="31" t="s">
        <v>572</v>
      </c>
      <c r="G413" s="31" t="str">
        <f t="shared" si="6"/>
        <v/>
      </c>
      <c r="H413" s="35"/>
      <c r="I413" s="31"/>
      <c r="J413" s="156">
        <v>0</v>
      </c>
    </row>
    <row r="414" spans="1:10" ht="15.75" hidden="1" thickBot="1" x14ac:dyDescent="0.3">
      <c r="A414" s="221" t="s">
        <v>179</v>
      </c>
      <c r="B414" s="224" t="str">
        <f>INDEX(Orçamentária!A:B,MATCH(Composições!A414,Orçamentária!A:A,0),2)</f>
        <v>Reparos superficiais em painéis de gesso acartonado</v>
      </c>
      <c r="C414" s="41"/>
      <c r="D414" s="26" t="str">
        <f>TRIM(INDEX(Orçamentária!C:C,MATCH(Composições!A414,Orçamentária!A:A,0),1))</f>
        <v>m2</v>
      </c>
      <c r="E414" s="27"/>
      <c r="F414" s="42" t="s">
        <v>572</v>
      </c>
      <c r="G414" s="28" t="str">
        <f t="shared" si="6"/>
        <v/>
      </c>
      <c r="H414" s="29"/>
      <c r="I414" s="30"/>
      <c r="J414" s="156">
        <v>0</v>
      </c>
    </row>
    <row r="415" spans="1:10" ht="15.75" hidden="1" thickBot="1" x14ac:dyDescent="0.3">
      <c r="A415" s="222"/>
      <c r="B415" s="225"/>
      <c r="C415" s="32"/>
      <c r="D415" s="32"/>
      <c r="E415" s="33"/>
      <c r="F415" s="43" t="s">
        <v>572</v>
      </c>
      <c r="G415" s="31" t="str">
        <f t="shared" si="6"/>
        <v/>
      </c>
      <c r="H415" s="35"/>
      <c r="I415" s="31"/>
      <c r="J415" s="156">
        <v>0</v>
      </c>
    </row>
    <row r="416" spans="1:10" ht="26.25" hidden="1" thickBot="1" x14ac:dyDescent="0.3">
      <c r="A416" s="222"/>
      <c r="B416" s="225"/>
      <c r="C416" s="36" t="s">
        <v>175</v>
      </c>
      <c r="D416" s="47" t="s">
        <v>94</v>
      </c>
      <c r="E416" s="37">
        <v>1.2513000000000001</v>
      </c>
      <c r="F416" s="34">
        <v>0.13300000000000001</v>
      </c>
      <c r="G416" s="31">
        <f t="shared" si="6"/>
        <v>0.16642290000000001</v>
      </c>
      <c r="H416" s="39">
        <f>SUM(G416:G419)</f>
        <v>4.4630562999999999</v>
      </c>
      <c r="I416" s="40"/>
      <c r="J416" s="156">
        <v>0</v>
      </c>
    </row>
    <row r="417" spans="1:10" ht="39" hidden="1" thickBot="1" x14ac:dyDescent="0.3">
      <c r="A417" s="222"/>
      <c r="B417" s="225"/>
      <c r="C417" s="36" t="s">
        <v>3786</v>
      </c>
      <c r="D417" s="47" t="s">
        <v>42</v>
      </c>
      <c r="E417" s="37">
        <v>0.51639999999999997</v>
      </c>
      <c r="F417" s="34">
        <v>2.3559999999999999</v>
      </c>
      <c r="G417" s="31">
        <f t="shared" si="6"/>
        <v>1.2166383999999999</v>
      </c>
      <c r="H417" s="45"/>
      <c r="I417" s="46"/>
      <c r="J417" s="156">
        <v>0</v>
      </c>
    </row>
    <row r="418" spans="1:10" ht="15.75" hidden="1" thickBot="1" x14ac:dyDescent="0.3">
      <c r="A418" s="222"/>
      <c r="B418" s="225"/>
      <c r="C418" s="36" t="s">
        <v>27</v>
      </c>
      <c r="D418" s="47" t="s">
        <v>12</v>
      </c>
      <c r="E418" s="37">
        <f>0.3636/3</f>
        <v>0.12119999999999999</v>
      </c>
      <c r="F418" s="31">
        <v>16.852999999999998</v>
      </c>
      <c r="G418" s="31">
        <f t="shared" si="6"/>
        <v>2.0425835999999995</v>
      </c>
      <c r="H418" s="45"/>
      <c r="I418" s="46"/>
      <c r="J418" s="156">
        <v>0</v>
      </c>
    </row>
    <row r="419" spans="1:10" ht="15.75" hidden="1" thickBot="1" x14ac:dyDescent="0.3">
      <c r="A419" s="222"/>
      <c r="B419" s="225"/>
      <c r="C419" s="36" t="s">
        <v>23</v>
      </c>
      <c r="D419" s="47" t="s">
        <v>12</v>
      </c>
      <c r="E419" s="37">
        <f>ROUND(0.0909*0.7,4)</f>
        <v>6.3600000000000004E-2</v>
      </c>
      <c r="F419" s="31">
        <v>16.311500000000002</v>
      </c>
      <c r="G419" s="31">
        <f t="shared" si="6"/>
        <v>1.0374114000000003</v>
      </c>
      <c r="H419" s="45"/>
      <c r="I419" s="46"/>
      <c r="J419" s="156">
        <v>0</v>
      </c>
    </row>
    <row r="420" spans="1:10" ht="15.75" hidden="1" thickBot="1" x14ac:dyDescent="0.3">
      <c r="A420" s="222"/>
      <c r="B420" s="225"/>
      <c r="C420" s="36"/>
      <c r="D420" s="47"/>
      <c r="E420" s="37"/>
      <c r="F420" s="34" t="s">
        <v>572</v>
      </c>
      <c r="G420" s="34" t="str">
        <f t="shared" si="6"/>
        <v/>
      </c>
      <c r="H420" s="45"/>
      <c r="I420" s="46"/>
      <c r="J420" s="156">
        <v>0</v>
      </c>
    </row>
    <row r="421" spans="1:10" ht="15.75" hidden="1" thickBot="1" x14ac:dyDescent="0.3">
      <c r="A421" s="221" t="s">
        <v>180</v>
      </c>
      <c r="B421" s="224" t="str">
        <f>INDEX(Orçamentária!A:B,MATCH(Composições!A421,Orçamentária!A:A,0),2)</f>
        <v>Sóculo h=10 cm</v>
      </c>
      <c r="C421" s="41"/>
      <c r="D421" s="26" t="str">
        <f>TRIM(INDEX(Orçamentária!C:C,MATCH(Composições!A421,Orçamentária!A:A,0),1))</f>
        <v>m2</v>
      </c>
      <c r="E421" s="27"/>
      <c r="F421" s="42" t="s">
        <v>572</v>
      </c>
      <c r="G421" s="28" t="str">
        <f t="shared" si="6"/>
        <v/>
      </c>
      <c r="H421" s="29"/>
      <c r="I421" s="30"/>
      <c r="J421" s="156">
        <v>0</v>
      </c>
    </row>
    <row r="422" spans="1:10" ht="15.75" hidden="1" thickBot="1" x14ac:dyDescent="0.3">
      <c r="A422" s="222"/>
      <c r="B422" s="225"/>
      <c r="C422" s="32"/>
      <c r="D422" s="32"/>
      <c r="E422" s="33"/>
      <c r="F422" s="43" t="s">
        <v>572</v>
      </c>
      <c r="G422" s="31" t="str">
        <f t="shared" si="6"/>
        <v/>
      </c>
      <c r="H422" s="35"/>
      <c r="I422" s="31"/>
      <c r="J422" s="156">
        <v>0</v>
      </c>
    </row>
    <row r="423" spans="1:10" ht="26.25" hidden="1" thickBot="1" x14ac:dyDescent="0.3">
      <c r="A423" s="222"/>
      <c r="B423" s="225"/>
      <c r="C423" s="36" t="s">
        <v>157</v>
      </c>
      <c r="D423" s="47" t="s">
        <v>94</v>
      </c>
      <c r="E423" s="37">
        <v>0.78500000000000003</v>
      </c>
      <c r="F423" s="34">
        <v>3.6479999999999997</v>
      </c>
      <c r="G423" s="34">
        <f t="shared" si="6"/>
        <v>2.86368</v>
      </c>
      <c r="H423" s="39">
        <f>SUM(G423:G431)</f>
        <v>74.780189950360395</v>
      </c>
      <c r="I423" s="40"/>
      <c r="J423" s="156">
        <v>0</v>
      </c>
    </row>
    <row r="424" spans="1:10" ht="15.75" hidden="1" thickBot="1" x14ac:dyDescent="0.3">
      <c r="A424" s="222"/>
      <c r="B424" s="225"/>
      <c r="C424" s="36" t="s">
        <v>158</v>
      </c>
      <c r="D424" s="47" t="s">
        <v>159</v>
      </c>
      <c r="E424" s="37">
        <v>9.4000000000000004E-3</v>
      </c>
      <c r="F424" s="34">
        <v>36.536999999999999</v>
      </c>
      <c r="G424" s="34">
        <f t="shared" si="6"/>
        <v>0.34344780000000003</v>
      </c>
      <c r="H424" s="35"/>
      <c r="I424" s="31"/>
      <c r="J424" s="156">
        <v>0</v>
      </c>
    </row>
    <row r="425" spans="1:10" ht="26.25" hidden="1" thickBot="1" x14ac:dyDescent="0.3">
      <c r="A425" s="222"/>
      <c r="B425" s="225"/>
      <c r="C425" s="36" t="s">
        <v>181</v>
      </c>
      <c r="D425" s="47" t="s">
        <v>20</v>
      </c>
      <c r="E425" s="37">
        <v>13.35</v>
      </c>
      <c r="F425" s="34">
        <v>1.9379999999999999</v>
      </c>
      <c r="G425" s="34">
        <f t="shared" si="6"/>
        <v>25.872299999999999</v>
      </c>
      <c r="H425" s="35"/>
      <c r="I425" s="31"/>
      <c r="J425" s="156">
        <v>0</v>
      </c>
    </row>
    <row r="426" spans="1:10" ht="51.75" hidden="1" thickBot="1" x14ac:dyDescent="0.3">
      <c r="A426" s="222"/>
      <c r="B426" s="225"/>
      <c r="C426" s="36" t="s">
        <v>160</v>
      </c>
      <c r="D426" s="47" t="s">
        <v>112</v>
      </c>
      <c r="E426" s="37">
        <v>1.04E-2</v>
      </c>
      <c r="F426" s="34">
        <v>472.33356941199997</v>
      </c>
      <c r="G426" s="34">
        <f t="shared" si="6"/>
        <v>4.9122691218847994</v>
      </c>
      <c r="H426" s="35"/>
      <c r="I426" s="31"/>
      <c r="J426" s="156">
        <v>0</v>
      </c>
    </row>
    <row r="427" spans="1:10" ht="15.75" hidden="1" thickBot="1" x14ac:dyDescent="0.3">
      <c r="A427" s="222"/>
      <c r="B427" s="225"/>
      <c r="C427" s="36" t="s">
        <v>22</v>
      </c>
      <c r="D427" s="47" t="s">
        <v>12</v>
      </c>
      <c r="E427" s="37">
        <v>0.59</v>
      </c>
      <c r="F427" s="31">
        <v>22.087499999999999</v>
      </c>
      <c r="G427" s="34">
        <f t="shared" si="6"/>
        <v>13.031624999999998</v>
      </c>
      <c r="H427" s="35"/>
      <c r="I427" s="31"/>
      <c r="J427" s="156">
        <v>0</v>
      </c>
    </row>
    <row r="428" spans="1:10" ht="15.75" hidden="1" thickBot="1" x14ac:dyDescent="0.3">
      <c r="A428" s="222"/>
      <c r="B428" s="225"/>
      <c r="C428" s="36" t="s">
        <v>23</v>
      </c>
      <c r="D428" s="47" t="s">
        <v>12</v>
      </c>
      <c r="E428" s="37">
        <v>0.29499999999999998</v>
      </c>
      <c r="F428" s="31">
        <v>16.311500000000002</v>
      </c>
      <c r="G428" s="34">
        <f t="shared" si="6"/>
        <v>4.8118925000000008</v>
      </c>
      <c r="H428" s="35"/>
      <c r="I428" s="31"/>
      <c r="J428" s="156">
        <v>0</v>
      </c>
    </row>
    <row r="429" spans="1:10" ht="51.75" hidden="1" thickBot="1" x14ac:dyDescent="0.3">
      <c r="A429" s="222"/>
      <c r="B429" s="225"/>
      <c r="C429" s="36" t="s">
        <v>160</v>
      </c>
      <c r="D429" s="47" t="s">
        <v>112</v>
      </c>
      <c r="E429" s="37">
        <v>2.1299999999999999E-2</v>
      </c>
      <c r="F429" s="34">
        <v>472.33356941199997</v>
      </c>
      <c r="G429" s="34">
        <f t="shared" si="6"/>
        <v>10.060705028475599</v>
      </c>
      <c r="H429" s="35"/>
      <c r="I429" s="31"/>
      <c r="J429" s="156">
        <v>0</v>
      </c>
    </row>
    <row r="430" spans="1:10" ht="15.75" hidden="1" thickBot="1" x14ac:dyDescent="0.3">
      <c r="A430" s="222"/>
      <c r="B430" s="225"/>
      <c r="C430" s="36" t="s">
        <v>22</v>
      </c>
      <c r="D430" s="47" t="s">
        <v>12</v>
      </c>
      <c r="E430" s="37">
        <v>0.46</v>
      </c>
      <c r="F430" s="31">
        <v>22.087499999999999</v>
      </c>
      <c r="G430" s="34">
        <f t="shared" si="6"/>
        <v>10.16025</v>
      </c>
      <c r="H430" s="35"/>
      <c r="I430" s="31"/>
      <c r="J430" s="156">
        <v>0</v>
      </c>
    </row>
    <row r="431" spans="1:10" ht="15.75" hidden="1" thickBot="1" x14ac:dyDescent="0.3">
      <c r="A431" s="222"/>
      <c r="B431" s="225"/>
      <c r="C431" s="36" t="s">
        <v>23</v>
      </c>
      <c r="D431" s="47" t="s">
        <v>12</v>
      </c>
      <c r="E431" s="37">
        <v>0.16700000000000001</v>
      </c>
      <c r="F431" s="31">
        <v>16.311500000000002</v>
      </c>
      <c r="G431" s="34">
        <f t="shared" si="6"/>
        <v>2.7240205000000004</v>
      </c>
      <c r="H431" s="35"/>
      <c r="I431" s="31"/>
      <c r="J431" s="156">
        <v>0</v>
      </c>
    </row>
    <row r="432" spans="1:10" ht="15.75" hidden="1" thickBot="1" x14ac:dyDescent="0.3">
      <c r="A432" s="223"/>
      <c r="B432" s="226"/>
      <c r="C432" s="36"/>
      <c r="D432" s="36"/>
      <c r="E432" s="37"/>
      <c r="F432" s="31" t="s">
        <v>572</v>
      </c>
      <c r="G432" s="31" t="str">
        <f t="shared" si="6"/>
        <v/>
      </c>
      <c r="H432" s="35"/>
      <c r="I432" s="31"/>
      <c r="J432" s="156">
        <v>0</v>
      </c>
    </row>
    <row r="433" spans="1:10" ht="15.75" hidden="1" thickBot="1" x14ac:dyDescent="0.3">
      <c r="A433" s="221" t="s">
        <v>182</v>
      </c>
      <c r="B433" s="224" t="str">
        <f>INDEX(Orçamentária!A:B,MATCH(Composições!A433,Orçamentária!A:A,0),2)</f>
        <v>Chapisco colante industrializado em vigas e pilares</v>
      </c>
      <c r="C433" s="41"/>
      <c r="D433" s="26" t="str">
        <f>TRIM(INDEX(Orçamentária!C:C,MATCH(Composições!A433,Orçamentária!A:A,0),1))</f>
        <v>m2</v>
      </c>
      <c r="E433" s="27"/>
      <c r="F433" s="42" t="s">
        <v>572</v>
      </c>
      <c r="G433" s="28" t="str">
        <f t="shared" si="6"/>
        <v/>
      </c>
      <c r="H433" s="29"/>
      <c r="I433" s="30"/>
      <c r="J433" s="156">
        <v>0</v>
      </c>
    </row>
    <row r="434" spans="1:10" ht="15.75" hidden="1" thickBot="1" x14ac:dyDescent="0.3">
      <c r="A434" s="222"/>
      <c r="B434" s="225"/>
      <c r="C434" s="32"/>
      <c r="D434" s="32"/>
      <c r="E434" s="33"/>
      <c r="F434" s="43" t="s">
        <v>572</v>
      </c>
      <c r="G434" s="31" t="str">
        <f t="shared" si="6"/>
        <v/>
      </c>
      <c r="H434" s="35"/>
      <c r="I434" s="31"/>
      <c r="J434" s="156">
        <v>0</v>
      </c>
    </row>
    <row r="435" spans="1:10" ht="39" hidden="1" thickBot="1" x14ac:dyDescent="0.3">
      <c r="A435" s="222"/>
      <c r="B435" s="225"/>
      <c r="C435" s="36" t="s">
        <v>183</v>
      </c>
      <c r="D435" s="36" t="s">
        <v>112</v>
      </c>
      <c r="E435" s="37">
        <v>3.2000000000000002E-3</v>
      </c>
      <c r="F435" s="34">
        <v>1815.67705</v>
      </c>
      <c r="G435" s="34">
        <f t="shared" si="6"/>
        <v>5.8101665599999999</v>
      </c>
      <c r="H435" s="39">
        <f>SUM(G435:G437)</f>
        <v>9.1544962099999996</v>
      </c>
      <c r="I435" s="40"/>
      <c r="J435" s="156">
        <v>0</v>
      </c>
    </row>
    <row r="436" spans="1:10" ht="15.75" hidden="1" thickBot="1" x14ac:dyDescent="0.3">
      <c r="A436" s="222"/>
      <c r="B436" s="225"/>
      <c r="C436" s="36" t="s">
        <v>22</v>
      </c>
      <c r="D436" s="36" t="s">
        <v>12</v>
      </c>
      <c r="E436" s="37">
        <v>0.14099999999999999</v>
      </c>
      <c r="F436" s="31">
        <v>22.087499999999999</v>
      </c>
      <c r="G436" s="34">
        <f t="shared" si="6"/>
        <v>3.1143374999999995</v>
      </c>
      <c r="H436" s="35"/>
      <c r="I436" s="31"/>
      <c r="J436" s="156">
        <v>0</v>
      </c>
    </row>
    <row r="437" spans="1:10" ht="15.75" hidden="1" thickBot="1" x14ac:dyDescent="0.3">
      <c r="A437" s="222"/>
      <c r="B437" s="225"/>
      <c r="C437" s="36" t="s">
        <v>23</v>
      </c>
      <c r="D437" s="36" t="s">
        <v>12</v>
      </c>
      <c r="E437" s="37">
        <v>1.41E-2</v>
      </c>
      <c r="F437" s="31">
        <v>16.311500000000002</v>
      </c>
      <c r="G437" s="34">
        <f t="shared" si="6"/>
        <v>0.22999215000000003</v>
      </c>
      <c r="H437" s="35"/>
      <c r="I437" s="31"/>
      <c r="J437" s="156">
        <v>0</v>
      </c>
    </row>
    <row r="438" spans="1:10" ht="15.75" hidden="1" thickBot="1" x14ac:dyDescent="0.3">
      <c r="A438" s="223"/>
      <c r="B438" s="226"/>
      <c r="C438" s="36"/>
      <c r="D438" s="36"/>
      <c r="E438" s="37"/>
      <c r="F438" s="31" t="s">
        <v>572</v>
      </c>
      <c r="G438" s="31" t="str">
        <f t="shared" si="6"/>
        <v/>
      </c>
      <c r="H438" s="35"/>
      <c r="I438" s="31"/>
      <c r="J438" s="156">
        <v>0</v>
      </c>
    </row>
    <row r="439" spans="1:10" ht="15.75" thickBot="1" x14ac:dyDescent="0.3">
      <c r="A439" s="221" t="s">
        <v>184</v>
      </c>
      <c r="B439" s="224" t="str">
        <f>INDEX(Orçamentária!A:B,MATCH(Composições!A439,Orçamentária!A:A,0),2)</f>
        <v>Chapisco com argamassa traço 1:3</v>
      </c>
      <c r="C439" s="41"/>
      <c r="D439" s="26" t="str">
        <f>TRIM(INDEX(Orçamentária!C:C,MATCH(Composições!A439,Orçamentária!A:A,0),1))</f>
        <v>m2</v>
      </c>
      <c r="E439" s="27"/>
      <c r="F439" s="42" t="s">
        <v>572</v>
      </c>
      <c r="G439" s="28" t="str">
        <f t="shared" si="6"/>
        <v/>
      </c>
      <c r="H439" s="29"/>
      <c r="I439" s="30"/>
      <c r="J439" s="156">
        <v>1.8200000000000005</v>
      </c>
    </row>
    <row r="440" spans="1:10" x14ac:dyDescent="0.25">
      <c r="A440" s="222"/>
      <c r="B440" s="225"/>
      <c r="C440" s="32"/>
      <c r="D440" s="32"/>
      <c r="E440" s="33"/>
      <c r="F440" s="43" t="s">
        <v>572</v>
      </c>
      <c r="G440" s="31" t="str">
        <f t="shared" si="6"/>
        <v/>
      </c>
      <c r="H440" s="35"/>
      <c r="I440" s="31"/>
      <c r="J440" s="156">
        <v>1.8200000000000005</v>
      </c>
    </row>
    <row r="441" spans="1:10" ht="38.25" x14ac:dyDescent="0.25">
      <c r="A441" s="222"/>
      <c r="B441" s="225"/>
      <c r="C441" s="36" t="s">
        <v>185</v>
      </c>
      <c r="D441" s="36" t="s">
        <v>112</v>
      </c>
      <c r="E441" s="37">
        <v>4.1999999999999997E-3</v>
      </c>
      <c r="F441" s="34">
        <v>526.33683305799991</v>
      </c>
      <c r="G441" s="34">
        <f t="shared" si="6"/>
        <v>2.2106146988435995</v>
      </c>
      <c r="H441" s="39">
        <f>SUM(G441:G443)</f>
        <v>3.8709201988435993</v>
      </c>
      <c r="I441" s="40"/>
      <c r="J441" s="156">
        <v>1.8200000000000005</v>
      </c>
    </row>
    <row r="442" spans="1:10" x14ac:dyDescent="0.25">
      <c r="A442" s="222"/>
      <c r="B442" s="225"/>
      <c r="C442" s="36" t="s">
        <v>22</v>
      </c>
      <c r="D442" s="36" t="s">
        <v>12</v>
      </c>
      <c r="E442" s="37">
        <v>7.0000000000000007E-2</v>
      </c>
      <c r="F442" s="31">
        <v>22.087499999999999</v>
      </c>
      <c r="G442" s="31">
        <f t="shared" si="6"/>
        <v>1.546125</v>
      </c>
      <c r="H442" s="35"/>
      <c r="I442" s="31"/>
      <c r="J442" s="156">
        <v>1.8200000000000005</v>
      </c>
    </row>
    <row r="443" spans="1:10" x14ac:dyDescent="0.25">
      <c r="A443" s="222"/>
      <c r="B443" s="225"/>
      <c r="C443" s="36" t="s">
        <v>23</v>
      </c>
      <c r="D443" s="36" t="s">
        <v>12</v>
      </c>
      <c r="E443" s="37">
        <v>7.0000000000000001E-3</v>
      </c>
      <c r="F443" s="31">
        <v>16.311500000000002</v>
      </c>
      <c r="G443" s="31">
        <f t="shared" si="6"/>
        <v>0.11418050000000002</v>
      </c>
      <c r="H443" s="35"/>
      <c r="I443" s="31"/>
      <c r="J443" s="156">
        <v>1.8200000000000005</v>
      </c>
    </row>
    <row r="444" spans="1:10" ht="15.75" thickBot="1" x14ac:dyDescent="0.3">
      <c r="A444" s="223"/>
      <c r="B444" s="226"/>
      <c r="C444" s="36"/>
      <c r="D444" s="36"/>
      <c r="E444" s="37"/>
      <c r="F444" s="31" t="s">
        <v>572</v>
      </c>
      <c r="G444" s="31" t="str">
        <f t="shared" si="6"/>
        <v/>
      </c>
      <c r="H444" s="35"/>
      <c r="I444" s="31"/>
      <c r="J444" s="156">
        <v>1.8200000000000005</v>
      </c>
    </row>
    <row r="445" spans="1:10" ht="15.75" hidden="1" thickBot="1" x14ac:dyDescent="0.3">
      <c r="A445" s="221" t="s">
        <v>186</v>
      </c>
      <c r="B445" s="224" t="str">
        <f>INDEX(Orçamentária!A:B,MATCH(Composições!A445,Orçamentária!A:A,0),2)</f>
        <v>Gesso cola</v>
      </c>
      <c r="C445" s="41"/>
      <c r="D445" s="26" t="str">
        <f>TRIM(INDEX(Orçamentária!C:C,MATCH(Composições!A445,Orçamentária!A:A,0),1))</f>
        <v>m2</v>
      </c>
      <c r="E445" s="27"/>
      <c r="F445" s="42" t="s">
        <v>572</v>
      </c>
      <c r="G445" s="28" t="str">
        <f t="shared" si="6"/>
        <v/>
      </c>
      <c r="H445" s="29"/>
      <c r="I445" s="30"/>
      <c r="J445" s="156">
        <v>0</v>
      </c>
    </row>
    <row r="446" spans="1:10" ht="15.75" hidden="1" thickBot="1" x14ac:dyDescent="0.3">
      <c r="A446" s="227"/>
      <c r="B446" s="225"/>
      <c r="C446" s="32"/>
      <c r="D446" s="32"/>
      <c r="E446" s="33"/>
      <c r="F446" s="43" t="s">
        <v>572</v>
      </c>
      <c r="G446" s="31" t="str">
        <f t="shared" si="6"/>
        <v/>
      </c>
      <c r="H446" s="35"/>
      <c r="I446" s="31"/>
      <c r="J446" s="156">
        <v>0</v>
      </c>
    </row>
    <row r="447" spans="1:10" ht="15.75" hidden="1" thickBot="1" x14ac:dyDescent="0.3">
      <c r="A447" s="227"/>
      <c r="B447" s="225"/>
      <c r="C447" s="36" t="s">
        <v>187</v>
      </c>
      <c r="D447" s="36" t="s">
        <v>12</v>
      </c>
      <c r="E447" s="37">
        <v>0.4</v>
      </c>
      <c r="F447" s="31">
        <v>21.973499999999998</v>
      </c>
      <c r="G447" s="31">
        <f t="shared" si="6"/>
        <v>8.7893999999999988</v>
      </c>
      <c r="H447" s="39">
        <f>SUM(G447:G449)</f>
        <v>10.09432</v>
      </c>
      <c r="I447" s="40"/>
      <c r="J447" s="156">
        <v>0</v>
      </c>
    </row>
    <row r="448" spans="1:10" ht="15.75" hidden="1" thickBot="1" x14ac:dyDescent="0.3">
      <c r="A448" s="227"/>
      <c r="B448" s="225"/>
      <c r="C448" s="36" t="s">
        <v>23</v>
      </c>
      <c r="D448" s="36" t="s">
        <v>12</v>
      </c>
      <c r="E448" s="37">
        <v>0.08</v>
      </c>
      <c r="F448" s="31">
        <v>16.311500000000002</v>
      </c>
      <c r="G448" s="31">
        <f t="shared" si="6"/>
        <v>1.3049200000000003</v>
      </c>
      <c r="H448" s="35"/>
      <c r="I448" s="31"/>
      <c r="J448" s="156">
        <v>0</v>
      </c>
    </row>
    <row r="449" spans="1:10" ht="15.75" hidden="1" thickBot="1" x14ac:dyDescent="0.3">
      <c r="A449" s="227"/>
      <c r="B449" s="225"/>
      <c r="C449" s="36" t="s">
        <v>188</v>
      </c>
      <c r="D449" s="36" t="s">
        <v>42</v>
      </c>
      <c r="E449" s="37">
        <v>0.75</v>
      </c>
      <c r="F449" s="31" t="s">
        <v>572</v>
      </c>
      <c r="G449" s="31" t="str">
        <f t="shared" si="6"/>
        <v/>
      </c>
      <c r="H449" s="35"/>
      <c r="I449" s="31"/>
      <c r="J449" s="156">
        <v>0</v>
      </c>
    </row>
    <row r="450" spans="1:10" ht="15.75" hidden="1" thickBot="1" x14ac:dyDescent="0.3">
      <c r="A450" s="227"/>
      <c r="B450" s="225"/>
      <c r="C450" s="36"/>
      <c r="D450" s="36"/>
      <c r="E450" s="37"/>
      <c r="F450" s="31" t="s">
        <v>572</v>
      </c>
      <c r="G450" s="31" t="str">
        <f t="shared" si="6"/>
        <v/>
      </c>
      <c r="H450" s="35"/>
      <c r="I450" s="31"/>
      <c r="J450" s="156">
        <v>0</v>
      </c>
    </row>
    <row r="451" spans="1:10" ht="26.25" hidden="1" thickBot="1" x14ac:dyDescent="0.3">
      <c r="A451" s="227"/>
      <c r="B451" s="225"/>
      <c r="C451" s="52" t="s">
        <v>189</v>
      </c>
      <c r="D451" s="52"/>
      <c r="E451" s="53"/>
      <c r="F451" s="34" t="s">
        <v>572</v>
      </c>
      <c r="G451" s="31" t="str">
        <f t="shared" si="6"/>
        <v/>
      </c>
      <c r="H451" s="35"/>
      <c r="I451" s="31"/>
      <c r="J451" s="156">
        <v>0</v>
      </c>
    </row>
    <row r="452" spans="1:10" ht="15.75" hidden="1" thickBot="1" x14ac:dyDescent="0.3">
      <c r="A452" s="228"/>
      <c r="B452" s="226"/>
      <c r="C452" s="36"/>
      <c r="D452" s="36"/>
      <c r="E452" s="37"/>
      <c r="F452" s="31" t="s">
        <v>572</v>
      </c>
      <c r="G452" s="31" t="str">
        <f t="shared" si="6"/>
        <v/>
      </c>
      <c r="H452" s="35"/>
      <c r="I452" s="31"/>
      <c r="J452" s="156">
        <v>0</v>
      </c>
    </row>
    <row r="453" spans="1:10" ht="15.75" thickBot="1" x14ac:dyDescent="0.3">
      <c r="A453" s="221" t="s">
        <v>190</v>
      </c>
      <c r="B453" s="224" t="str">
        <f>INDEX(Orçamentária!A:B,MATCH(Composições!A453,Orçamentária!A:A,0),2)</f>
        <v>Reboco com argamassa industrializada e=2,0 cm</v>
      </c>
      <c r="C453" s="41"/>
      <c r="D453" s="26" t="str">
        <f>TRIM(INDEX(Orçamentária!C:C,MATCH(Composições!A453,Orçamentária!A:A,0),1))</f>
        <v>m2</v>
      </c>
      <c r="E453" s="27"/>
      <c r="F453" s="42" t="s">
        <v>572</v>
      </c>
      <c r="G453" s="28" t="str">
        <f t="shared" si="6"/>
        <v/>
      </c>
      <c r="H453" s="29"/>
      <c r="I453" s="30"/>
      <c r="J453" s="156">
        <v>0.28000000000000003</v>
      </c>
    </row>
    <row r="454" spans="1:10" x14ac:dyDescent="0.25">
      <c r="A454" s="222"/>
      <c r="B454" s="225"/>
      <c r="C454" s="32"/>
      <c r="D454" s="32"/>
      <c r="E454" s="33"/>
      <c r="F454" s="43" t="s">
        <v>572</v>
      </c>
      <c r="G454" s="31" t="str">
        <f t="shared" ref="G454:G517" si="7">IF(ISNUMBER(F454),E454*F454,"")</f>
        <v/>
      </c>
      <c r="H454" s="35"/>
      <c r="I454" s="31"/>
      <c r="J454" s="156">
        <v>0.28000000000000003</v>
      </c>
    </row>
    <row r="455" spans="1:10" ht="25.5" x14ac:dyDescent="0.25">
      <c r="A455" s="222"/>
      <c r="B455" s="225"/>
      <c r="C455" s="36" t="s">
        <v>191</v>
      </c>
      <c r="D455" s="36" t="s">
        <v>42</v>
      </c>
      <c r="E455" s="37">
        <f>1890*0.02</f>
        <v>37.800000000000004</v>
      </c>
      <c r="F455" s="34">
        <v>0.46549999999999997</v>
      </c>
      <c r="G455" s="31">
        <f t="shared" si="7"/>
        <v>17.5959</v>
      </c>
      <c r="H455" s="39">
        <f>SUM(G455:G458)</f>
        <v>33.777977700000001</v>
      </c>
      <c r="I455" s="40"/>
      <c r="J455" s="156">
        <v>0.28000000000000003</v>
      </c>
    </row>
    <row r="456" spans="1:10" x14ac:dyDescent="0.25">
      <c r="A456" s="222"/>
      <c r="B456" s="225"/>
      <c r="C456" s="36" t="s">
        <v>23</v>
      </c>
      <c r="D456" s="36" t="s">
        <v>12</v>
      </c>
      <c r="E456" s="37">
        <f>12.59*0.02</f>
        <v>0.25180000000000002</v>
      </c>
      <c r="F456" s="31">
        <v>16.311500000000002</v>
      </c>
      <c r="G456" s="31">
        <f t="shared" si="7"/>
        <v>4.1072357000000013</v>
      </c>
      <c r="H456" s="45"/>
      <c r="I456" s="46"/>
      <c r="J456" s="156">
        <v>0.28000000000000003</v>
      </c>
    </row>
    <row r="457" spans="1:10" x14ac:dyDescent="0.25">
      <c r="A457" s="222"/>
      <c r="B457" s="225"/>
      <c r="C457" s="36" t="s">
        <v>22</v>
      </c>
      <c r="D457" s="36" t="s">
        <v>12</v>
      </c>
      <c r="E457" s="37">
        <v>0.43</v>
      </c>
      <c r="F457" s="31">
        <v>22.087499999999999</v>
      </c>
      <c r="G457" s="31">
        <f t="shared" si="7"/>
        <v>9.4976249999999993</v>
      </c>
      <c r="H457" s="35"/>
      <c r="I457" s="31"/>
      <c r="J457" s="156">
        <v>0.28000000000000003</v>
      </c>
    </row>
    <row r="458" spans="1:10" x14ac:dyDescent="0.25">
      <c r="A458" s="222"/>
      <c r="B458" s="225"/>
      <c r="C458" s="36" t="s">
        <v>23</v>
      </c>
      <c r="D458" s="36" t="s">
        <v>12</v>
      </c>
      <c r="E458" s="37">
        <f>0.158</f>
        <v>0.158</v>
      </c>
      <c r="F458" s="31">
        <v>16.311500000000002</v>
      </c>
      <c r="G458" s="31">
        <f t="shared" si="7"/>
        <v>2.5772170000000005</v>
      </c>
      <c r="H458" s="35"/>
      <c r="I458" s="31"/>
      <c r="J458" s="156">
        <v>0.28000000000000003</v>
      </c>
    </row>
    <row r="459" spans="1:10" x14ac:dyDescent="0.25">
      <c r="A459" s="222"/>
      <c r="B459" s="225"/>
      <c r="C459" s="36"/>
      <c r="D459" s="36"/>
      <c r="E459" s="37"/>
      <c r="F459" s="31" t="s">
        <v>572</v>
      </c>
      <c r="G459" s="31" t="str">
        <f t="shared" si="7"/>
        <v/>
      </c>
      <c r="H459" s="35"/>
      <c r="I459" s="31"/>
      <c r="J459" s="156">
        <v>0.28000000000000003</v>
      </c>
    </row>
    <row r="460" spans="1:10" ht="38.25" x14ac:dyDescent="0.25">
      <c r="A460" s="222"/>
      <c r="B460" s="225"/>
      <c r="C460" s="52" t="s">
        <v>192</v>
      </c>
      <c r="D460" s="36"/>
      <c r="E460" s="37"/>
      <c r="F460" s="31" t="s">
        <v>572</v>
      </c>
      <c r="G460" s="31" t="str">
        <f t="shared" si="7"/>
        <v/>
      </c>
      <c r="H460" s="35"/>
      <c r="I460" s="31"/>
      <c r="J460" s="156">
        <v>0.28000000000000003</v>
      </c>
    </row>
    <row r="461" spans="1:10" ht="30" x14ac:dyDescent="0.25">
      <c r="A461" s="222"/>
      <c r="B461" s="225"/>
      <c r="C461" s="146" t="s">
        <v>193</v>
      </c>
      <c r="D461" s="36"/>
      <c r="E461" s="37"/>
      <c r="F461" s="31" t="s">
        <v>572</v>
      </c>
      <c r="G461" s="31" t="str">
        <f t="shared" si="7"/>
        <v/>
      </c>
      <c r="H461" s="35"/>
      <c r="I461" s="31"/>
      <c r="J461" s="156">
        <v>0.28000000000000003</v>
      </c>
    </row>
    <row r="462" spans="1:10" ht="15.75" thickBot="1" x14ac:dyDescent="0.3">
      <c r="A462" s="223"/>
      <c r="B462" s="226"/>
      <c r="C462" s="36"/>
      <c r="D462" s="36"/>
      <c r="E462" s="37"/>
      <c r="F462" s="31" t="s">
        <v>572</v>
      </c>
      <c r="G462" s="31" t="str">
        <f t="shared" si="7"/>
        <v/>
      </c>
      <c r="H462" s="35"/>
      <c r="I462" s="31"/>
      <c r="J462" s="156">
        <v>0.28000000000000003</v>
      </c>
    </row>
    <row r="463" spans="1:10" ht="15.75" thickBot="1" x14ac:dyDescent="0.3">
      <c r="A463" s="221" t="s">
        <v>194</v>
      </c>
      <c r="B463" s="224" t="str">
        <f>INDEX(Orçamentária!A:B,MATCH(Composições!A463,Orçamentária!A:A,0),2)</f>
        <v>Regularização com argamassa industrializada e=0,5 cm</v>
      </c>
      <c r="C463" s="41"/>
      <c r="D463" s="26" t="str">
        <f>TRIM(INDEX(Orçamentária!C:C,MATCH(Composições!A463,Orçamentária!A:A,0),1))</f>
        <v>m2</v>
      </c>
      <c r="E463" s="27"/>
      <c r="F463" s="42" t="s">
        <v>572</v>
      </c>
      <c r="G463" s="28" t="str">
        <f t="shared" si="7"/>
        <v/>
      </c>
      <c r="H463" s="29"/>
      <c r="I463" s="30"/>
      <c r="J463" s="156">
        <v>1.8200000000000005</v>
      </c>
    </row>
    <row r="464" spans="1:10" x14ac:dyDescent="0.25">
      <c r="A464" s="222"/>
      <c r="B464" s="225"/>
      <c r="C464" s="32"/>
      <c r="D464" s="32"/>
      <c r="E464" s="33"/>
      <c r="F464" s="43" t="s">
        <v>572</v>
      </c>
      <c r="G464" s="31" t="str">
        <f t="shared" si="7"/>
        <v/>
      </c>
      <c r="H464" s="35"/>
      <c r="I464" s="31"/>
      <c r="J464" s="156">
        <v>1.8200000000000005</v>
      </c>
    </row>
    <row r="465" spans="1:10" ht="25.5" x14ac:dyDescent="0.25">
      <c r="A465" s="222"/>
      <c r="B465" s="225"/>
      <c r="C465" s="36" t="s">
        <v>191</v>
      </c>
      <c r="D465" s="36" t="s">
        <v>42</v>
      </c>
      <c r="E465" s="37">
        <f>1890*0.005</f>
        <v>9.4500000000000011</v>
      </c>
      <c r="F465" s="34">
        <v>0.46549999999999997</v>
      </c>
      <c r="G465" s="31">
        <f t="shared" si="7"/>
        <v>4.3989750000000001</v>
      </c>
      <c r="H465" s="39">
        <f>SUM(G465:G468)</f>
        <v>11.680281825</v>
      </c>
      <c r="I465" s="40"/>
      <c r="J465" s="156">
        <v>1.8200000000000005</v>
      </c>
    </row>
    <row r="466" spans="1:10" x14ac:dyDescent="0.25">
      <c r="A466" s="222"/>
      <c r="B466" s="225"/>
      <c r="C466" s="36" t="s">
        <v>23</v>
      </c>
      <c r="D466" s="36" t="s">
        <v>12</v>
      </c>
      <c r="E466" s="37">
        <f>12.59*0.005</f>
        <v>6.2950000000000006E-2</v>
      </c>
      <c r="F466" s="31">
        <v>16.311500000000002</v>
      </c>
      <c r="G466" s="31">
        <f t="shared" si="7"/>
        <v>1.0268089250000003</v>
      </c>
      <c r="H466" s="35"/>
      <c r="I466" s="31"/>
      <c r="J466" s="156">
        <v>1.8200000000000005</v>
      </c>
    </row>
    <row r="467" spans="1:10" x14ac:dyDescent="0.25">
      <c r="A467" s="222"/>
      <c r="B467" s="225"/>
      <c r="C467" s="36" t="s">
        <v>22</v>
      </c>
      <c r="D467" s="36" t="s">
        <v>12</v>
      </c>
      <c r="E467" s="37">
        <f>0.31*0.7</f>
        <v>0.217</v>
      </c>
      <c r="F467" s="31">
        <v>22.087499999999999</v>
      </c>
      <c r="G467" s="31">
        <f t="shared" si="7"/>
        <v>4.7929874999999997</v>
      </c>
      <c r="H467" s="35"/>
      <c r="I467" s="31"/>
      <c r="J467" s="156">
        <v>1.8200000000000005</v>
      </c>
    </row>
    <row r="468" spans="1:10" x14ac:dyDescent="0.25">
      <c r="A468" s="222"/>
      <c r="B468" s="225"/>
      <c r="C468" s="36" t="s">
        <v>23</v>
      </c>
      <c r="D468" s="36" t="s">
        <v>12</v>
      </c>
      <c r="E468" s="37">
        <f>0.128*0.7</f>
        <v>8.9599999999999999E-2</v>
      </c>
      <c r="F468" s="31">
        <v>16.311500000000002</v>
      </c>
      <c r="G468" s="31">
        <f t="shared" si="7"/>
        <v>1.4615104000000001</v>
      </c>
      <c r="H468" s="35"/>
      <c r="I468" s="31"/>
      <c r="J468" s="156">
        <v>1.8200000000000005</v>
      </c>
    </row>
    <row r="469" spans="1:10" ht="15.75" thickBot="1" x14ac:dyDescent="0.3">
      <c r="A469" s="223"/>
      <c r="B469" s="226"/>
      <c r="C469" s="36"/>
      <c r="D469" s="36"/>
      <c r="E469" s="37"/>
      <c r="F469" s="31" t="s">
        <v>572</v>
      </c>
      <c r="G469" s="31" t="str">
        <f t="shared" si="7"/>
        <v/>
      </c>
      <c r="H469" s="35"/>
      <c r="I469" s="31"/>
      <c r="J469" s="156">
        <v>1.8200000000000005</v>
      </c>
    </row>
    <row r="470" spans="1:10" ht="15.75" hidden="1" thickBot="1" x14ac:dyDescent="0.3">
      <c r="A470" s="221" t="s">
        <v>195</v>
      </c>
      <c r="B470" s="224" t="str">
        <f>INDEX(Orçamentária!A:B,MATCH(Composições!A470,Orçamentária!A:A,0),2)</f>
        <v>Tratamento de trincas superficiais</v>
      </c>
      <c r="C470" s="41"/>
      <c r="D470" s="26" t="str">
        <f>TRIM(INDEX(Orçamentária!C:C,MATCH(Composições!A470,Orçamentária!A:A,0),1))</f>
        <v>m</v>
      </c>
      <c r="E470" s="27"/>
      <c r="F470" s="42" t="s">
        <v>572</v>
      </c>
      <c r="G470" s="28" t="str">
        <f t="shared" si="7"/>
        <v/>
      </c>
      <c r="H470" s="29"/>
      <c r="I470" s="30"/>
      <c r="J470" s="156">
        <v>0</v>
      </c>
    </row>
    <row r="471" spans="1:10" ht="15.75" hidden="1" thickBot="1" x14ac:dyDescent="0.3">
      <c r="A471" s="222"/>
      <c r="B471" s="225"/>
      <c r="C471" s="32"/>
      <c r="D471" s="32"/>
      <c r="E471" s="33"/>
      <c r="F471" s="43" t="s">
        <v>572</v>
      </c>
      <c r="G471" s="31" t="str">
        <f t="shared" si="7"/>
        <v/>
      </c>
      <c r="H471" s="35"/>
      <c r="I471" s="31"/>
      <c r="J471" s="156">
        <v>0</v>
      </c>
    </row>
    <row r="472" spans="1:10" ht="15.75" hidden="1" thickBot="1" x14ac:dyDescent="0.3">
      <c r="A472" s="222"/>
      <c r="B472" s="225"/>
      <c r="C472" s="36" t="s">
        <v>23</v>
      </c>
      <c r="D472" s="47" t="s">
        <v>12</v>
      </c>
      <c r="E472" s="37">
        <v>0.6</v>
      </c>
      <c r="F472" s="31">
        <v>16.311500000000002</v>
      </c>
      <c r="G472" s="34">
        <f t="shared" si="7"/>
        <v>9.786900000000001</v>
      </c>
      <c r="H472" s="39">
        <f>SUM(G472:G476)</f>
        <v>14.573313500000001</v>
      </c>
      <c r="I472" s="40"/>
      <c r="J472" s="156">
        <v>0</v>
      </c>
    </row>
    <row r="473" spans="1:10" ht="15.75" hidden="1" thickBot="1" x14ac:dyDescent="0.3">
      <c r="A473" s="222"/>
      <c r="B473" s="225"/>
      <c r="C473" s="36" t="s">
        <v>22</v>
      </c>
      <c r="D473" s="47" t="s">
        <v>12</v>
      </c>
      <c r="E473" s="37">
        <v>0.155</v>
      </c>
      <c r="F473" s="31">
        <v>22.087499999999999</v>
      </c>
      <c r="G473" s="34">
        <f t="shared" si="7"/>
        <v>3.4235624999999996</v>
      </c>
      <c r="H473" s="35"/>
      <c r="I473" s="31"/>
      <c r="J473" s="156">
        <v>0</v>
      </c>
    </row>
    <row r="474" spans="1:10" ht="15.75" hidden="1" thickBot="1" x14ac:dyDescent="0.3">
      <c r="A474" s="222"/>
      <c r="B474" s="225"/>
      <c r="C474" s="36" t="s">
        <v>196</v>
      </c>
      <c r="D474" s="47" t="s">
        <v>94</v>
      </c>
      <c r="E474" s="37">
        <v>1.05</v>
      </c>
      <c r="F474" s="34">
        <v>0.95</v>
      </c>
      <c r="G474" s="34">
        <f t="shared" si="7"/>
        <v>0.99749999999999994</v>
      </c>
      <c r="H474" s="35"/>
      <c r="I474" s="31"/>
      <c r="J474" s="156">
        <v>0</v>
      </c>
    </row>
    <row r="475" spans="1:10" ht="15.75" hidden="1" thickBot="1" x14ac:dyDescent="0.3">
      <c r="A475" s="222"/>
      <c r="B475" s="225"/>
      <c r="C475" s="36" t="s">
        <v>197</v>
      </c>
      <c r="D475" s="50" t="s">
        <v>105</v>
      </c>
      <c r="E475" s="37">
        <f>ROUND(1*0.15/(165/18),4)</f>
        <v>1.6400000000000001E-2</v>
      </c>
      <c r="F475" s="34">
        <v>22.2775</v>
      </c>
      <c r="G475" s="34">
        <f t="shared" si="7"/>
        <v>0.36535100000000004</v>
      </c>
      <c r="H475" s="35"/>
      <c r="I475" s="31"/>
      <c r="J475" s="156">
        <v>0</v>
      </c>
    </row>
    <row r="476" spans="1:10" ht="15.75" hidden="1" thickBot="1" x14ac:dyDescent="0.3">
      <c r="A476" s="222"/>
      <c r="B476" s="225"/>
      <c r="C476" s="36" t="s">
        <v>198</v>
      </c>
      <c r="D476" s="47" t="s">
        <v>42</v>
      </c>
      <c r="E476" s="37">
        <f>1/5</f>
        <v>0.2</v>
      </c>
      <c r="F476" s="34" t="s">
        <v>572</v>
      </c>
      <c r="G476" s="34" t="str">
        <f t="shared" si="7"/>
        <v/>
      </c>
      <c r="H476" s="35"/>
      <c r="I476" s="31"/>
      <c r="J476" s="156">
        <v>0</v>
      </c>
    </row>
    <row r="477" spans="1:10" ht="15.75" hidden="1" thickBot="1" x14ac:dyDescent="0.3">
      <c r="A477" s="222"/>
      <c r="B477" s="225"/>
      <c r="C477" s="36"/>
      <c r="D477" s="47"/>
      <c r="E477" s="37"/>
      <c r="F477" s="34" t="s">
        <v>572</v>
      </c>
      <c r="G477" s="34" t="str">
        <f t="shared" si="7"/>
        <v/>
      </c>
      <c r="H477" s="35"/>
      <c r="I477" s="31"/>
      <c r="J477" s="156">
        <v>0</v>
      </c>
    </row>
    <row r="478" spans="1:10" ht="39" hidden="1" thickBot="1" x14ac:dyDescent="0.3">
      <c r="A478" s="222"/>
      <c r="B478" s="225"/>
      <c r="C478" s="52" t="s">
        <v>199</v>
      </c>
      <c r="D478" s="47"/>
      <c r="E478" s="37"/>
      <c r="F478" s="34" t="s">
        <v>572</v>
      </c>
      <c r="G478" s="34" t="str">
        <f t="shared" si="7"/>
        <v/>
      </c>
      <c r="H478" s="35"/>
      <c r="I478" s="31"/>
      <c r="J478" s="156">
        <v>0</v>
      </c>
    </row>
    <row r="479" spans="1:10" ht="24" hidden="1" thickBot="1" x14ac:dyDescent="0.3">
      <c r="A479" s="222"/>
      <c r="B479" s="225"/>
      <c r="C479" s="147" t="s">
        <v>200</v>
      </c>
      <c r="D479" s="47"/>
      <c r="E479" s="37"/>
      <c r="F479" s="34" t="s">
        <v>572</v>
      </c>
      <c r="G479" s="34" t="str">
        <f t="shared" si="7"/>
        <v/>
      </c>
      <c r="H479" s="35"/>
      <c r="I479" s="31"/>
      <c r="J479" s="156">
        <v>0</v>
      </c>
    </row>
    <row r="480" spans="1:10" ht="24" hidden="1" thickBot="1" x14ac:dyDescent="0.3">
      <c r="A480" s="222"/>
      <c r="B480" s="225"/>
      <c r="C480" s="147" t="s">
        <v>201</v>
      </c>
      <c r="D480" s="47"/>
      <c r="E480" s="37"/>
      <c r="F480" s="34" t="s">
        <v>572</v>
      </c>
      <c r="G480" s="34" t="str">
        <f t="shared" si="7"/>
        <v/>
      </c>
      <c r="H480" s="35"/>
      <c r="I480" s="31"/>
      <c r="J480" s="156">
        <v>0</v>
      </c>
    </row>
    <row r="481" spans="1:10" ht="15.75" hidden="1" thickBot="1" x14ac:dyDescent="0.3">
      <c r="A481" s="223"/>
      <c r="B481" s="226"/>
      <c r="C481" s="36"/>
      <c r="D481" s="36"/>
      <c r="E481" s="37"/>
      <c r="F481" s="31" t="s">
        <v>572</v>
      </c>
      <c r="G481" s="31" t="str">
        <f t="shared" si="7"/>
        <v/>
      </c>
      <c r="H481" s="35"/>
      <c r="I481" s="31"/>
      <c r="J481" s="156">
        <v>0</v>
      </c>
    </row>
    <row r="482" spans="1:10" ht="15.75" hidden="1" thickBot="1" x14ac:dyDescent="0.3">
      <c r="A482" s="221" t="s">
        <v>202</v>
      </c>
      <c r="B482" s="224" t="str">
        <f>INDEX(Orçamentária!A:B,MATCH(Composições!A482,Orçamentária!A:A,0),2)</f>
        <v>Aplicação de fundo selador base água</v>
      </c>
      <c r="C482" s="41"/>
      <c r="D482" s="26" t="str">
        <f>TRIM(INDEX(Orçamentária!C:C,MATCH(Composições!A482,Orçamentária!A:A,0),1))</f>
        <v>m2</v>
      </c>
      <c r="E482" s="27"/>
      <c r="F482" s="42" t="s">
        <v>572</v>
      </c>
      <c r="G482" s="28" t="str">
        <f t="shared" si="7"/>
        <v/>
      </c>
      <c r="H482" s="29"/>
      <c r="I482" s="30"/>
      <c r="J482" s="156">
        <v>0</v>
      </c>
    </row>
    <row r="483" spans="1:10" ht="15.75" hidden="1" thickBot="1" x14ac:dyDescent="0.3">
      <c r="A483" s="222"/>
      <c r="B483" s="225"/>
      <c r="C483" s="32"/>
      <c r="D483" s="32"/>
      <c r="E483" s="33"/>
      <c r="F483" s="43" t="s">
        <v>572</v>
      </c>
      <c r="G483" s="31" t="str">
        <f t="shared" si="7"/>
        <v/>
      </c>
      <c r="H483" s="35"/>
      <c r="I483" s="31"/>
      <c r="J483" s="156">
        <v>0</v>
      </c>
    </row>
    <row r="484" spans="1:10" ht="15.75" hidden="1" thickBot="1" x14ac:dyDescent="0.3">
      <c r="A484" s="222"/>
      <c r="B484" s="225"/>
      <c r="C484" s="36" t="s">
        <v>103</v>
      </c>
      <c r="D484" s="47" t="s">
        <v>12</v>
      </c>
      <c r="E484" s="37">
        <v>0.106</v>
      </c>
      <c r="F484" s="31">
        <v>23.027999999999999</v>
      </c>
      <c r="G484" s="34">
        <f t="shared" si="7"/>
        <v>2.4409679999999998</v>
      </c>
      <c r="H484" s="39">
        <f>SUM(G484:G486)</f>
        <v>2.8813784999999998</v>
      </c>
      <c r="I484" s="40"/>
      <c r="J484" s="156">
        <v>0</v>
      </c>
    </row>
    <row r="485" spans="1:10" ht="15.75" hidden="1" thickBot="1" x14ac:dyDescent="0.3">
      <c r="A485" s="222"/>
      <c r="B485" s="225"/>
      <c r="C485" s="36" t="s">
        <v>23</v>
      </c>
      <c r="D485" s="47" t="s">
        <v>12</v>
      </c>
      <c r="E485" s="37">
        <v>2.7E-2</v>
      </c>
      <c r="F485" s="31">
        <v>16.311500000000002</v>
      </c>
      <c r="G485" s="34">
        <f t="shared" si="7"/>
        <v>0.44041050000000004</v>
      </c>
      <c r="H485" s="35"/>
      <c r="I485" s="31"/>
      <c r="J485" s="156">
        <v>0</v>
      </c>
    </row>
    <row r="486" spans="1:10" ht="15.75" hidden="1" thickBot="1" x14ac:dyDescent="0.3">
      <c r="A486" s="222"/>
      <c r="B486" s="225"/>
      <c r="C486" s="36" t="s">
        <v>203</v>
      </c>
      <c r="D486" s="50" t="s">
        <v>105</v>
      </c>
      <c r="E486" s="37">
        <v>0.16</v>
      </c>
      <c r="F486" s="34" t="s">
        <v>572</v>
      </c>
      <c r="G486" s="34" t="str">
        <f t="shared" si="7"/>
        <v/>
      </c>
      <c r="H486" s="35"/>
      <c r="I486" s="31"/>
      <c r="J486" s="156">
        <v>0</v>
      </c>
    </row>
    <row r="487" spans="1:10" ht="15.75" hidden="1" thickBot="1" x14ac:dyDescent="0.3">
      <c r="A487" s="223"/>
      <c r="B487" s="226"/>
      <c r="C487" s="36"/>
      <c r="D487" s="36"/>
      <c r="E487" s="37"/>
      <c r="F487" s="31" t="s">
        <v>572</v>
      </c>
      <c r="G487" s="31" t="str">
        <f t="shared" si="7"/>
        <v/>
      </c>
      <c r="H487" s="35"/>
      <c r="I487" s="31"/>
      <c r="J487" s="156">
        <v>0</v>
      </c>
    </row>
    <row r="488" spans="1:10" ht="15.75" hidden="1" thickBot="1" x14ac:dyDescent="0.3">
      <c r="A488" s="221" t="s">
        <v>204</v>
      </c>
      <c r="B488" s="224" t="str">
        <f>INDEX(Orçamentária!A:B,MATCH(Composições!A488,Orçamentária!A:A,0),2)</f>
        <v>Fundo anticorrosivo e de aderência (base água)</v>
      </c>
      <c r="C488" s="41"/>
      <c r="D488" s="26" t="str">
        <f>TRIM(INDEX(Orçamentária!C:C,MATCH(Composições!A488,Orçamentária!A:A,0),1))</f>
        <v>m2</v>
      </c>
      <c r="E488" s="27"/>
      <c r="F488" s="42" t="s">
        <v>572</v>
      </c>
      <c r="G488" s="28" t="str">
        <f t="shared" si="7"/>
        <v/>
      </c>
      <c r="H488" s="29"/>
      <c r="I488" s="30"/>
      <c r="J488" s="156">
        <v>0</v>
      </c>
    </row>
    <row r="489" spans="1:10" ht="15.75" hidden="1" thickBot="1" x14ac:dyDescent="0.3">
      <c r="A489" s="222"/>
      <c r="B489" s="225"/>
      <c r="C489" s="32"/>
      <c r="D489" s="32"/>
      <c r="E489" s="33"/>
      <c r="F489" s="43" t="s">
        <v>572</v>
      </c>
      <c r="G489" s="31" t="str">
        <f t="shared" si="7"/>
        <v/>
      </c>
      <c r="H489" s="35"/>
      <c r="I489" s="31"/>
      <c r="J489" s="156">
        <v>0</v>
      </c>
    </row>
    <row r="490" spans="1:10" ht="15.75" hidden="1" thickBot="1" x14ac:dyDescent="0.3">
      <c r="A490" s="222"/>
      <c r="B490" s="225"/>
      <c r="C490" s="36" t="s">
        <v>103</v>
      </c>
      <c r="D490" s="47" t="s">
        <v>12</v>
      </c>
      <c r="E490" s="37">
        <f>2*0.2149</f>
        <v>0.42980000000000002</v>
      </c>
      <c r="F490" s="31">
        <v>23.027999999999999</v>
      </c>
      <c r="G490" s="34">
        <f t="shared" si="7"/>
        <v>9.8974343999999999</v>
      </c>
      <c r="H490" s="39">
        <f>SUM(G490:G491)</f>
        <v>9.8974343999999999</v>
      </c>
      <c r="I490" s="40"/>
      <c r="J490" s="156">
        <v>0</v>
      </c>
    </row>
    <row r="491" spans="1:10" ht="15.75" hidden="1" thickBot="1" x14ac:dyDescent="0.3">
      <c r="A491" s="222"/>
      <c r="B491" s="225"/>
      <c r="C491" s="36" t="s">
        <v>205</v>
      </c>
      <c r="D491" s="50" t="s">
        <v>105</v>
      </c>
      <c r="E491" s="37">
        <f>2*(3.6/45)</f>
        <v>0.16</v>
      </c>
      <c r="F491" s="34" t="s">
        <v>572</v>
      </c>
      <c r="G491" s="34" t="str">
        <f t="shared" si="7"/>
        <v/>
      </c>
      <c r="H491" s="35"/>
      <c r="I491" s="31"/>
      <c r="J491" s="156">
        <v>0</v>
      </c>
    </row>
    <row r="492" spans="1:10" ht="15.75" hidden="1" thickBot="1" x14ac:dyDescent="0.3">
      <c r="A492" s="222"/>
      <c r="B492" s="225"/>
      <c r="C492" s="36"/>
      <c r="D492" s="47"/>
      <c r="E492" s="37"/>
      <c r="F492" s="34" t="s">
        <v>572</v>
      </c>
      <c r="G492" s="34" t="str">
        <f t="shared" si="7"/>
        <v/>
      </c>
      <c r="H492" s="35"/>
      <c r="I492" s="31"/>
      <c r="J492" s="156">
        <v>0</v>
      </c>
    </row>
    <row r="493" spans="1:10" ht="26.25" hidden="1" thickBot="1" x14ac:dyDescent="0.3">
      <c r="A493" s="222"/>
      <c r="B493" s="225"/>
      <c r="C493" s="52" t="s">
        <v>206</v>
      </c>
      <c r="D493" s="47"/>
      <c r="E493" s="37"/>
      <c r="F493" s="34" t="s">
        <v>572</v>
      </c>
      <c r="G493" s="34" t="str">
        <f t="shared" si="7"/>
        <v/>
      </c>
      <c r="H493" s="35"/>
      <c r="I493" s="31"/>
      <c r="J493" s="156">
        <v>0</v>
      </c>
    </row>
    <row r="494" spans="1:10" ht="30.75" hidden="1" thickBot="1" x14ac:dyDescent="0.3">
      <c r="A494" s="222"/>
      <c r="B494" s="225"/>
      <c r="C494" s="148" t="s">
        <v>207</v>
      </c>
      <c r="D494" s="47"/>
      <c r="E494" s="37"/>
      <c r="F494" s="34" t="s">
        <v>572</v>
      </c>
      <c r="G494" s="34" t="str">
        <f t="shared" si="7"/>
        <v/>
      </c>
      <c r="H494" s="35"/>
      <c r="I494" s="31"/>
      <c r="J494" s="156">
        <v>0</v>
      </c>
    </row>
    <row r="495" spans="1:10" ht="30.75" hidden="1" thickBot="1" x14ac:dyDescent="0.3">
      <c r="A495" s="223"/>
      <c r="B495" s="226"/>
      <c r="C495" s="148" t="s">
        <v>208</v>
      </c>
      <c r="D495" s="36"/>
      <c r="E495" s="37"/>
      <c r="F495" s="31" t="s">
        <v>572</v>
      </c>
      <c r="G495" s="31" t="str">
        <f t="shared" si="7"/>
        <v/>
      </c>
      <c r="H495" s="35"/>
      <c r="I495" s="31"/>
      <c r="J495" s="156">
        <v>0</v>
      </c>
    </row>
    <row r="496" spans="1:10" ht="15.75" hidden="1" thickBot="1" x14ac:dyDescent="0.3">
      <c r="A496" s="221" t="s">
        <v>209</v>
      </c>
      <c r="B496" s="224" t="str">
        <f>INDEX(Orçamentária!A:B,MATCH(Composições!A496,Orçamentária!A:A,0),2)</f>
        <v>Massa acrílica</v>
      </c>
      <c r="C496" s="41"/>
      <c r="D496" s="26" t="str">
        <f>TRIM(INDEX(Orçamentária!C:C,MATCH(Composições!A496,Orçamentária!A:A,0),1))</f>
        <v>m2</v>
      </c>
      <c r="E496" s="27"/>
      <c r="F496" s="42" t="s">
        <v>572</v>
      </c>
      <c r="G496" s="28" t="str">
        <f t="shared" si="7"/>
        <v/>
      </c>
      <c r="H496" s="29"/>
      <c r="I496" s="30"/>
      <c r="J496" s="156">
        <v>0</v>
      </c>
    </row>
    <row r="497" spans="1:10" ht="15.75" hidden="1" thickBot="1" x14ac:dyDescent="0.3">
      <c r="A497" s="222"/>
      <c r="B497" s="225"/>
      <c r="C497" s="32"/>
      <c r="D497" s="32"/>
      <c r="E497" s="33"/>
      <c r="F497" s="43" t="s">
        <v>572</v>
      </c>
      <c r="G497" s="31" t="str">
        <f t="shared" si="7"/>
        <v/>
      </c>
      <c r="H497" s="35"/>
      <c r="I497" s="31"/>
      <c r="J497" s="156">
        <v>0</v>
      </c>
    </row>
    <row r="498" spans="1:10" ht="15.75" hidden="1" thickBot="1" x14ac:dyDescent="0.3">
      <c r="A498" s="222"/>
      <c r="B498" s="225"/>
      <c r="C498" s="36" t="s">
        <v>210</v>
      </c>
      <c r="D498" s="47" t="s">
        <v>20</v>
      </c>
      <c r="E498" s="37">
        <v>0.1</v>
      </c>
      <c r="F498" s="34">
        <v>0.61749999999999994</v>
      </c>
      <c r="G498" s="34">
        <f t="shared" si="7"/>
        <v>6.1749999999999999E-2</v>
      </c>
      <c r="H498" s="39">
        <f>SUM(G498:G501)</f>
        <v>16.063274499999999</v>
      </c>
      <c r="I498" s="40"/>
      <c r="J498" s="156">
        <v>0</v>
      </c>
    </row>
    <row r="499" spans="1:10" ht="15.75" hidden="1" thickBot="1" x14ac:dyDescent="0.3">
      <c r="A499" s="222"/>
      <c r="B499" s="225"/>
      <c r="C499" s="36" t="s">
        <v>211</v>
      </c>
      <c r="D499" s="47" t="s">
        <v>212</v>
      </c>
      <c r="E499" s="37">
        <v>0.24399999999999999</v>
      </c>
      <c r="F499" s="34">
        <v>28.509499999999999</v>
      </c>
      <c r="G499" s="34">
        <f t="shared" si="7"/>
        <v>6.9563179999999996</v>
      </c>
      <c r="H499" s="35"/>
      <c r="I499" s="31"/>
      <c r="J499" s="156">
        <v>0</v>
      </c>
    </row>
    <row r="500" spans="1:10" ht="15.75" hidden="1" thickBot="1" x14ac:dyDescent="0.3">
      <c r="A500" s="222"/>
      <c r="B500" s="225"/>
      <c r="C500" s="36" t="s">
        <v>103</v>
      </c>
      <c r="D500" s="47" t="s">
        <v>12</v>
      </c>
      <c r="E500" s="37">
        <v>0.33400000000000002</v>
      </c>
      <c r="F500" s="31">
        <v>23.027999999999999</v>
      </c>
      <c r="G500" s="34">
        <f t="shared" si="7"/>
        <v>7.6913520000000002</v>
      </c>
      <c r="H500" s="35"/>
      <c r="I500" s="31"/>
      <c r="J500" s="156">
        <v>0</v>
      </c>
    </row>
    <row r="501" spans="1:10" ht="15.75" hidden="1" thickBot="1" x14ac:dyDescent="0.3">
      <c r="A501" s="222"/>
      <c r="B501" s="225"/>
      <c r="C501" s="36" t="s">
        <v>23</v>
      </c>
      <c r="D501" s="47" t="s">
        <v>12</v>
      </c>
      <c r="E501" s="37">
        <v>8.3000000000000004E-2</v>
      </c>
      <c r="F501" s="31">
        <v>16.311500000000002</v>
      </c>
      <c r="G501" s="34">
        <f t="shared" si="7"/>
        <v>1.3538545000000002</v>
      </c>
      <c r="H501" s="35"/>
      <c r="I501" s="31"/>
      <c r="J501" s="156">
        <v>0</v>
      </c>
    </row>
    <row r="502" spans="1:10" ht="15.75" hidden="1" thickBot="1" x14ac:dyDescent="0.3">
      <c r="A502" s="223"/>
      <c r="B502" s="226"/>
      <c r="C502" s="36"/>
      <c r="D502" s="36"/>
      <c r="E502" s="37"/>
      <c r="F502" s="31" t="s">
        <v>572</v>
      </c>
      <c r="G502" s="31" t="str">
        <f t="shared" si="7"/>
        <v/>
      </c>
      <c r="H502" s="35"/>
      <c r="I502" s="31"/>
      <c r="J502" s="156">
        <v>0</v>
      </c>
    </row>
    <row r="503" spans="1:10" ht="15.75" hidden="1" thickBot="1" x14ac:dyDescent="0.3">
      <c r="A503" s="221" t="s">
        <v>213</v>
      </c>
      <c r="B503" s="224" t="str">
        <f>INDEX(Orçamentária!A:B,MATCH(Composições!A503,Orçamentária!A:A,0),2)</f>
        <v>Massa corrida</v>
      </c>
      <c r="C503" s="41"/>
      <c r="D503" s="26" t="str">
        <f>TRIM(INDEX(Orçamentária!C:C,MATCH(Composições!A503,Orçamentária!A:A,0),1))</f>
        <v>m2</v>
      </c>
      <c r="E503" s="27"/>
      <c r="F503" s="42" t="s">
        <v>572</v>
      </c>
      <c r="G503" s="28" t="str">
        <f t="shared" si="7"/>
        <v/>
      </c>
      <c r="H503" s="29"/>
      <c r="I503" s="30"/>
      <c r="J503" s="156">
        <v>0</v>
      </c>
    </row>
    <row r="504" spans="1:10" ht="15.75" hidden="1" thickBot="1" x14ac:dyDescent="0.3">
      <c r="A504" s="222"/>
      <c r="B504" s="225"/>
      <c r="C504" s="32"/>
      <c r="D504" s="32"/>
      <c r="E504" s="33"/>
      <c r="F504" s="43" t="s">
        <v>572</v>
      </c>
      <c r="G504" s="31" t="str">
        <f t="shared" si="7"/>
        <v/>
      </c>
      <c r="H504" s="35"/>
      <c r="I504" s="31"/>
      <c r="J504" s="156">
        <v>0</v>
      </c>
    </row>
    <row r="505" spans="1:10" ht="15.75" hidden="1" thickBot="1" x14ac:dyDescent="0.3">
      <c r="A505" s="222"/>
      <c r="B505" s="225"/>
      <c r="C505" s="36" t="s">
        <v>210</v>
      </c>
      <c r="D505" s="47" t="s">
        <v>20</v>
      </c>
      <c r="E505" s="37">
        <v>0.1</v>
      </c>
      <c r="F505" s="34">
        <v>0.61749999999999994</v>
      </c>
      <c r="G505" s="34">
        <f t="shared" si="7"/>
        <v>6.1749999999999999E-2</v>
      </c>
      <c r="H505" s="39">
        <f>SUM(G505:G508)</f>
        <v>9.1059970000000003</v>
      </c>
      <c r="I505" s="40"/>
      <c r="J505" s="156">
        <v>0</v>
      </c>
    </row>
    <row r="506" spans="1:10" ht="15.75" hidden="1" thickBot="1" x14ac:dyDescent="0.3">
      <c r="A506" s="222"/>
      <c r="B506" s="225"/>
      <c r="C506" s="36" t="s">
        <v>214</v>
      </c>
      <c r="D506" s="47" t="s">
        <v>215</v>
      </c>
      <c r="E506" s="37">
        <v>4.8899999999999999E-2</v>
      </c>
      <c r="F506" s="34" t="s">
        <v>572</v>
      </c>
      <c r="G506" s="34" t="str">
        <f t="shared" si="7"/>
        <v/>
      </c>
      <c r="H506" s="35"/>
      <c r="I506" s="31"/>
      <c r="J506" s="156">
        <v>0</v>
      </c>
    </row>
    <row r="507" spans="1:10" ht="15.75" hidden="1" thickBot="1" x14ac:dyDescent="0.3">
      <c r="A507" s="222"/>
      <c r="B507" s="225"/>
      <c r="C507" s="36" t="s">
        <v>103</v>
      </c>
      <c r="D507" s="47" t="s">
        <v>12</v>
      </c>
      <c r="E507" s="37">
        <v>0.312</v>
      </c>
      <c r="F507" s="31">
        <v>23.027999999999999</v>
      </c>
      <c r="G507" s="34">
        <f t="shared" si="7"/>
        <v>7.184736</v>
      </c>
      <c r="H507" s="35"/>
      <c r="I507" s="31"/>
      <c r="J507" s="156">
        <v>0</v>
      </c>
    </row>
    <row r="508" spans="1:10" ht="15.75" hidden="1" thickBot="1" x14ac:dyDescent="0.3">
      <c r="A508" s="222"/>
      <c r="B508" s="225"/>
      <c r="C508" s="36" t="s">
        <v>23</v>
      </c>
      <c r="D508" s="47" t="s">
        <v>12</v>
      </c>
      <c r="E508" s="37">
        <v>0.114</v>
      </c>
      <c r="F508" s="31">
        <v>16.311500000000002</v>
      </c>
      <c r="G508" s="34">
        <f t="shared" si="7"/>
        <v>1.8595110000000004</v>
      </c>
      <c r="H508" s="35"/>
      <c r="I508" s="31"/>
      <c r="J508" s="156">
        <v>0</v>
      </c>
    </row>
    <row r="509" spans="1:10" ht="15.75" hidden="1" thickBot="1" x14ac:dyDescent="0.3">
      <c r="A509" s="223"/>
      <c r="B509" s="226"/>
      <c r="C509" s="36"/>
      <c r="D509" s="36"/>
      <c r="E509" s="37"/>
      <c r="F509" s="31" t="s">
        <v>572</v>
      </c>
      <c r="G509" s="31" t="str">
        <f t="shared" si="7"/>
        <v/>
      </c>
      <c r="H509" s="35"/>
      <c r="I509" s="31"/>
      <c r="J509" s="156">
        <v>0</v>
      </c>
    </row>
    <row r="510" spans="1:10" ht="15.75" hidden="1" thickBot="1" x14ac:dyDescent="0.3">
      <c r="A510" s="221" t="s">
        <v>216</v>
      </c>
      <c r="B510" s="224" t="str">
        <f>INDEX(Orçamentária!A:B,MATCH(Composições!A510,Orçamentária!A:A,0),2)</f>
        <v>Pintura com tinta látex acrílica Premium (paredes)</v>
      </c>
      <c r="C510" s="41"/>
      <c r="D510" s="26" t="str">
        <f>TRIM(INDEX(Orçamentária!C:C,MATCH(Composições!A510,Orçamentária!A:A,0),1))</f>
        <v>m2</v>
      </c>
      <c r="E510" s="27"/>
      <c r="F510" s="42" t="s">
        <v>572</v>
      </c>
      <c r="G510" s="28" t="str">
        <f t="shared" si="7"/>
        <v/>
      </c>
      <c r="H510" s="29"/>
      <c r="I510" s="30"/>
      <c r="J510" s="156">
        <v>0</v>
      </c>
    </row>
    <row r="511" spans="1:10" ht="15.75" hidden="1" thickBot="1" x14ac:dyDescent="0.3">
      <c r="A511" s="222"/>
      <c r="B511" s="225"/>
      <c r="C511" s="32"/>
      <c r="D511" s="32"/>
      <c r="E511" s="33"/>
      <c r="F511" s="43" t="s">
        <v>572</v>
      </c>
      <c r="G511" s="31" t="str">
        <f t="shared" si="7"/>
        <v/>
      </c>
      <c r="H511" s="35"/>
      <c r="I511" s="31"/>
      <c r="J511" s="156">
        <v>0</v>
      </c>
    </row>
    <row r="512" spans="1:10" ht="15.75" hidden="1" thickBot="1" x14ac:dyDescent="0.3">
      <c r="A512" s="222"/>
      <c r="B512" s="225"/>
      <c r="C512" s="36" t="s">
        <v>103</v>
      </c>
      <c r="D512" s="47" t="s">
        <v>12</v>
      </c>
      <c r="E512" s="37">
        <v>0.187</v>
      </c>
      <c r="F512" s="31">
        <v>23.027999999999999</v>
      </c>
      <c r="G512" s="34">
        <f t="shared" si="7"/>
        <v>4.3062360000000002</v>
      </c>
      <c r="H512" s="39">
        <f>SUM(G512:G514)</f>
        <v>11.7769695</v>
      </c>
      <c r="I512" s="40"/>
      <c r="J512" s="156">
        <v>0</v>
      </c>
    </row>
    <row r="513" spans="1:10" ht="15.75" hidden="1" thickBot="1" x14ac:dyDescent="0.3">
      <c r="A513" s="222"/>
      <c r="B513" s="225"/>
      <c r="C513" s="36" t="s">
        <v>23</v>
      </c>
      <c r="D513" s="47" t="s">
        <v>12</v>
      </c>
      <c r="E513" s="37">
        <v>6.9000000000000006E-2</v>
      </c>
      <c r="F513" s="31">
        <v>16.311500000000002</v>
      </c>
      <c r="G513" s="34">
        <f t="shared" si="7"/>
        <v>1.1254935000000001</v>
      </c>
      <c r="H513" s="35"/>
      <c r="I513" s="31"/>
      <c r="J513" s="156">
        <v>0</v>
      </c>
    </row>
    <row r="514" spans="1:10" ht="15.75" hidden="1" thickBot="1" x14ac:dyDescent="0.3">
      <c r="A514" s="222"/>
      <c r="B514" s="225"/>
      <c r="C514" s="36" t="s">
        <v>217</v>
      </c>
      <c r="D514" s="50" t="s">
        <v>105</v>
      </c>
      <c r="E514" s="37">
        <v>0.33</v>
      </c>
      <c r="F514" s="34">
        <v>19.227999999999998</v>
      </c>
      <c r="G514" s="34">
        <f t="shared" si="7"/>
        <v>6.3452399999999995</v>
      </c>
      <c r="H514" s="35"/>
      <c r="I514" s="31"/>
      <c r="J514" s="156">
        <v>0</v>
      </c>
    </row>
    <row r="515" spans="1:10" ht="15.75" hidden="1" thickBot="1" x14ac:dyDescent="0.3">
      <c r="A515" s="223"/>
      <c r="B515" s="226"/>
      <c r="C515" s="36"/>
      <c r="D515" s="36"/>
      <c r="E515" s="37"/>
      <c r="F515" s="31" t="s">
        <v>572</v>
      </c>
      <c r="G515" s="31" t="str">
        <f t="shared" si="7"/>
        <v/>
      </c>
      <c r="H515" s="35"/>
      <c r="I515" s="31"/>
      <c r="J515" s="156">
        <v>0</v>
      </c>
    </row>
    <row r="516" spans="1:10" ht="15.75" hidden="1" thickBot="1" x14ac:dyDescent="0.3">
      <c r="A516" s="221" t="s">
        <v>218</v>
      </c>
      <c r="B516" s="224" t="str">
        <f>INDEX(Orçamentária!A:B,MATCH(Composições!A516,Orçamentária!A:A,0),2)</f>
        <v>Pintura em verniz sintético</v>
      </c>
      <c r="C516" s="41"/>
      <c r="D516" s="26" t="str">
        <f>TRIM(INDEX(Orçamentária!C:C,MATCH(Composições!A516,Orçamentária!A:A,0),1))</f>
        <v>m2</v>
      </c>
      <c r="E516" s="27"/>
      <c r="F516" s="42" t="s">
        <v>572</v>
      </c>
      <c r="G516" s="28" t="str">
        <f t="shared" si="7"/>
        <v/>
      </c>
      <c r="H516" s="29"/>
      <c r="I516" s="30"/>
      <c r="J516" s="156">
        <v>0</v>
      </c>
    </row>
    <row r="517" spans="1:10" ht="15.75" hidden="1" thickBot="1" x14ac:dyDescent="0.3">
      <c r="A517" s="222"/>
      <c r="B517" s="225"/>
      <c r="C517" s="32"/>
      <c r="D517" s="32"/>
      <c r="E517" s="33"/>
      <c r="F517" s="43" t="s">
        <v>572</v>
      </c>
      <c r="G517" s="31" t="str">
        <f t="shared" si="7"/>
        <v/>
      </c>
      <c r="H517" s="35"/>
      <c r="I517" s="31"/>
      <c r="J517" s="156">
        <v>0</v>
      </c>
    </row>
    <row r="518" spans="1:10" ht="15.75" hidden="1" thickBot="1" x14ac:dyDescent="0.3">
      <c r="A518" s="222"/>
      <c r="B518" s="225"/>
      <c r="C518" s="36" t="s">
        <v>210</v>
      </c>
      <c r="D518" s="36" t="s">
        <v>20</v>
      </c>
      <c r="E518" s="37">
        <v>1</v>
      </c>
      <c r="F518" s="34">
        <v>0.61749999999999994</v>
      </c>
      <c r="G518" s="31">
        <f t="shared" ref="G518:G581" si="8">IF(ISNUMBER(F518),E518*F518,"")</f>
        <v>0.61749999999999994</v>
      </c>
      <c r="H518" s="39">
        <f>SUM(G518:G521)</f>
        <v>14.722149999999999</v>
      </c>
      <c r="I518" s="40"/>
      <c r="J518" s="156">
        <v>0</v>
      </c>
    </row>
    <row r="519" spans="1:10" ht="15.75" hidden="1" thickBot="1" x14ac:dyDescent="0.3">
      <c r="A519" s="222"/>
      <c r="B519" s="225"/>
      <c r="C519" s="36" t="s">
        <v>219</v>
      </c>
      <c r="D519" s="50" t="s">
        <v>105</v>
      </c>
      <c r="E519" s="37">
        <f>ROUND(3*3.6/100,4)</f>
        <v>0.108</v>
      </c>
      <c r="F519" s="34" t="s">
        <v>572</v>
      </c>
      <c r="G519" s="31" t="str">
        <f t="shared" si="8"/>
        <v/>
      </c>
      <c r="H519" s="35"/>
      <c r="I519" s="31"/>
      <c r="J519" s="156">
        <v>0</v>
      </c>
    </row>
    <row r="520" spans="1:10" ht="15.75" hidden="1" thickBot="1" x14ac:dyDescent="0.3">
      <c r="A520" s="222"/>
      <c r="B520" s="225"/>
      <c r="C520" s="36" t="s">
        <v>103</v>
      </c>
      <c r="D520" s="36" t="s">
        <v>12</v>
      </c>
      <c r="E520" s="37">
        <v>0.4</v>
      </c>
      <c r="F520" s="31">
        <v>23.027999999999999</v>
      </c>
      <c r="G520" s="31">
        <f t="shared" si="8"/>
        <v>9.2111999999999998</v>
      </c>
      <c r="H520" s="35"/>
      <c r="I520" s="31"/>
      <c r="J520" s="156">
        <v>0</v>
      </c>
    </row>
    <row r="521" spans="1:10" ht="15.75" hidden="1" thickBot="1" x14ac:dyDescent="0.3">
      <c r="A521" s="222"/>
      <c r="B521" s="225"/>
      <c r="C521" s="36" t="s">
        <v>23</v>
      </c>
      <c r="D521" s="36" t="s">
        <v>12</v>
      </c>
      <c r="E521" s="37">
        <v>0.3</v>
      </c>
      <c r="F521" s="31">
        <v>16.311500000000002</v>
      </c>
      <c r="G521" s="31">
        <f t="shared" si="8"/>
        <v>4.8934500000000005</v>
      </c>
      <c r="H521" s="35"/>
      <c r="I521" s="31"/>
      <c r="J521" s="156">
        <v>0</v>
      </c>
    </row>
    <row r="522" spans="1:10" ht="15.75" hidden="1" thickBot="1" x14ac:dyDescent="0.3">
      <c r="A522" s="222"/>
      <c r="B522" s="225"/>
      <c r="C522" s="36"/>
      <c r="D522" s="36"/>
      <c r="E522" s="37"/>
      <c r="F522" s="31"/>
      <c r="G522" s="31"/>
      <c r="H522" s="35"/>
      <c r="I522" s="31"/>
      <c r="J522" s="156">
        <v>0</v>
      </c>
    </row>
    <row r="523" spans="1:10" ht="15.75" hidden="1" thickBot="1" x14ac:dyDescent="0.3">
      <c r="A523" s="222"/>
      <c r="B523" s="225"/>
      <c r="C523" s="2" t="s">
        <v>3489</v>
      </c>
      <c r="D523" s="36"/>
      <c r="E523" s="37"/>
      <c r="F523" s="31"/>
      <c r="G523" s="31"/>
      <c r="H523" s="35"/>
      <c r="I523" s="31"/>
      <c r="J523" s="156">
        <v>0</v>
      </c>
    </row>
    <row r="524" spans="1:10" ht="15.75" hidden="1" thickBot="1" x14ac:dyDescent="0.3">
      <c r="A524" s="223"/>
      <c r="B524" s="226"/>
      <c r="C524" s="36"/>
      <c r="D524" s="36"/>
      <c r="E524" s="37"/>
      <c r="F524" s="31" t="s">
        <v>572</v>
      </c>
      <c r="G524" s="31" t="str">
        <f t="shared" ref="G524:G530" si="9">IF(ISNUMBER(F524),E524*F524,"")</f>
        <v/>
      </c>
      <c r="H524" s="35"/>
      <c r="I524" s="31"/>
      <c r="J524" s="156">
        <v>0</v>
      </c>
    </row>
    <row r="525" spans="1:10" ht="15.75" hidden="1" thickBot="1" x14ac:dyDescent="0.3">
      <c r="A525" s="221" t="s">
        <v>220</v>
      </c>
      <c r="B525" s="224" t="str">
        <f>INDEX(Orçamentária!A:B,MATCH(Composições!A525,Orçamentária!A:A,0),2)</f>
        <v>Pintura esmalte acetinado (metais e madeiras)</v>
      </c>
      <c r="C525" s="41"/>
      <c r="D525" s="26" t="str">
        <f>TRIM(INDEX(Orçamentária!C:C,MATCH(Composições!A525,Orçamentária!A:A,0),1))</f>
        <v>m2</v>
      </c>
      <c r="E525" s="27"/>
      <c r="F525" s="42" t="s">
        <v>572</v>
      </c>
      <c r="G525" s="28" t="str">
        <f t="shared" si="9"/>
        <v/>
      </c>
      <c r="H525" s="29"/>
      <c r="I525" s="30"/>
      <c r="J525" s="156">
        <v>0</v>
      </c>
    </row>
    <row r="526" spans="1:10" ht="15.75" hidden="1" thickBot="1" x14ac:dyDescent="0.3">
      <c r="A526" s="222"/>
      <c r="B526" s="225"/>
      <c r="C526" s="32"/>
      <c r="D526" s="32"/>
      <c r="E526" s="33"/>
      <c r="F526" s="43" t="s">
        <v>572</v>
      </c>
      <c r="G526" s="31" t="str">
        <f t="shared" si="9"/>
        <v/>
      </c>
      <c r="H526" s="35"/>
      <c r="I526" s="31"/>
      <c r="J526" s="156">
        <v>0</v>
      </c>
    </row>
    <row r="527" spans="1:10" ht="15.75" hidden="1" thickBot="1" x14ac:dyDescent="0.3">
      <c r="A527" s="222"/>
      <c r="B527" s="225"/>
      <c r="C527" s="36" t="s">
        <v>103</v>
      </c>
      <c r="D527" s="47" t="s">
        <v>12</v>
      </c>
      <c r="E527" s="37">
        <v>0.4</v>
      </c>
      <c r="F527" s="31">
        <v>23.027999999999999</v>
      </c>
      <c r="G527" s="34">
        <f t="shared" si="9"/>
        <v>9.2111999999999998</v>
      </c>
      <c r="H527" s="39">
        <f>SUM(G527:G530)</f>
        <v>12.720500000000001</v>
      </c>
      <c r="I527" s="40"/>
      <c r="J527" s="156">
        <v>0</v>
      </c>
    </row>
    <row r="528" spans="1:10" ht="15.75" hidden="1" thickBot="1" x14ac:dyDescent="0.3">
      <c r="A528" s="222"/>
      <c r="B528" s="225"/>
      <c r="C528" s="36" t="s">
        <v>23</v>
      </c>
      <c r="D528" s="47" t="s">
        <v>12</v>
      </c>
      <c r="E528" s="37">
        <v>0.2</v>
      </c>
      <c r="F528" s="31">
        <v>16.311500000000002</v>
      </c>
      <c r="G528" s="34">
        <f t="shared" si="9"/>
        <v>3.2623000000000006</v>
      </c>
      <c r="H528" s="35"/>
      <c r="I528" s="31"/>
      <c r="J528" s="156">
        <v>0</v>
      </c>
    </row>
    <row r="529" spans="1:10" ht="15.75" hidden="1" thickBot="1" x14ac:dyDescent="0.3">
      <c r="A529" s="222"/>
      <c r="B529" s="225"/>
      <c r="C529" s="36" t="s">
        <v>210</v>
      </c>
      <c r="D529" s="47" t="s">
        <v>20</v>
      </c>
      <c r="E529" s="37">
        <v>0.4</v>
      </c>
      <c r="F529" s="34">
        <v>0.61749999999999994</v>
      </c>
      <c r="G529" s="34">
        <f t="shared" si="9"/>
        <v>0.247</v>
      </c>
      <c r="H529" s="35"/>
      <c r="I529" s="31"/>
      <c r="J529" s="156">
        <v>0</v>
      </c>
    </row>
    <row r="530" spans="1:10" ht="15.75" hidden="1" thickBot="1" x14ac:dyDescent="0.3">
      <c r="A530" s="222"/>
      <c r="B530" s="225"/>
      <c r="C530" s="36" t="s">
        <v>221</v>
      </c>
      <c r="D530" s="50" t="s">
        <v>105</v>
      </c>
      <c r="E530" s="37">
        <f>ROUND(3*3.6/75,4)</f>
        <v>0.14399999999999999</v>
      </c>
      <c r="F530" s="34" t="s">
        <v>572</v>
      </c>
      <c r="G530" s="34" t="str">
        <f t="shared" si="9"/>
        <v/>
      </c>
      <c r="H530" s="35"/>
      <c r="I530" s="31"/>
      <c r="J530" s="156">
        <v>0</v>
      </c>
    </row>
    <row r="531" spans="1:10" ht="15.75" hidden="1" thickBot="1" x14ac:dyDescent="0.3">
      <c r="A531" s="222"/>
      <c r="B531" s="225"/>
      <c r="C531" s="36"/>
      <c r="D531" s="50"/>
      <c r="E531" s="37"/>
      <c r="F531" s="34"/>
      <c r="G531" s="34"/>
      <c r="H531" s="35"/>
      <c r="I531" s="31"/>
      <c r="J531" s="156">
        <v>0</v>
      </c>
    </row>
    <row r="532" spans="1:10" ht="15.75" hidden="1" thickBot="1" x14ac:dyDescent="0.3">
      <c r="A532" s="222"/>
      <c r="B532" s="225"/>
      <c r="C532" s="2" t="s">
        <v>3488</v>
      </c>
      <c r="D532" s="50"/>
      <c r="E532" s="37"/>
      <c r="F532" s="34"/>
      <c r="G532" s="34"/>
      <c r="H532" s="35"/>
      <c r="I532" s="31"/>
      <c r="J532" s="156">
        <v>0</v>
      </c>
    </row>
    <row r="533" spans="1:10" ht="15.75" hidden="1" thickBot="1" x14ac:dyDescent="0.3">
      <c r="A533" s="223"/>
      <c r="B533" s="226"/>
      <c r="C533" s="36"/>
      <c r="D533" s="36"/>
      <c r="E533" s="37"/>
      <c r="F533" s="31" t="s">
        <v>572</v>
      </c>
      <c r="G533" s="31" t="str">
        <f t="shared" ref="G533:G596" si="10">IF(ISNUMBER(F533),E533*F533,"")</f>
        <v/>
      </c>
      <c r="H533" s="35"/>
      <c r="I533" s="31"/>
      <c r="J533" s="156">
        <v>0</v>
      </c>
    </row>
    <row r="534" spans="1:10" ht="15.75" hidden="1" thickBot="1" x14ac:dyDescent="0.3">
      <c r="A534" s="221" t="s">
        <v>222</v>
      </c>
      <c r="B534" s="224" t="str">
        <f>INDEX(Orçamentária!A:B,MATCH(Composições!A534,Orçamentária!A:A,0),2)</f>
        <v>Pintura tinta látex acrílica standard (tetos)</v>
      </c>
      <c r="C534" s="41"/>
      <c r="D534" s="26" t="str">
        <f>TRIM(INDEX(Orçamentária!C:C,MATCH(Composições!A534,Orçamentária!A:A,0),1))</f>
        <v>m2</v>
      </c>
      <c r="E534" s="27"/>
      <c r="F534" s="42" t="s">
        <v>572</v>
      </c>
      <c r="G534" s="28" t="str">
        <f t="shared" si="10"/>
        <v/>
      </c>
      <c r="H534" s="29"/>
      <c r="I534" s="30"/>
      <c r="J534" s="156">
        <v>0</v>
      </c>
    </row>
    <row r="535" spans="1:10" ht="15.75" hidden="1" thickBot="1" x14ac:dyDescent="0.3">
      <c r="A535" s="222"/>
      <c r="B535" s="225"/>
      <c r="C535" s="32"/>
      <c r="D535" s="32"/>
      <c r="E535" s="33"/>
      <c r="F535" s="43" t="s">
        <v>572</v>
      </c>
      <c r="G535" s="31" t="str">
        <f t="shared" si="10"/>
        <v/>
      </c>
      <c r="H535" s="35"/>
      <c r="I535" s="31"/>
      <c r="J535" s="156">
        <v>0</v>
      </c>
    </row>
    <row r="536" spans="1:10" ht="15.75" hidden="1" thickBot="1" x14ac:dyDescent="0.3">
      <c r="A536" s="222"/>
      <c r="B536" s="225"/>
      <c r="C536" s="36" t="s">
        <v>103</v>
      </c>
      <c r="D536" s="47" t="s">
        <v>12</v>
      </c>
      <c r="E536" s="37">
        <v>0.24399999999999999</v>
      </c>
      <c r="F536" s="31">
        <v>23.027999999999999</v>
      </c>
      <c r="G536" s="34">
        <f t="shared" si="10"/>
        <v>5.6188319999999994</v>
      </c>
      <c r="H536" s="39">
        <f>SUM(G536:G538)</f>
        <v>13.415795499999998</v>
      </c>
      <c r="I536" s="40"/>
      <c r="J536" s="156">
        <v>0</v>
      </c>
    </row>
    <row r="537" spans="1:10" ht="15.75" hidden="1" thickBot="1" x14ac:dyDescent="0.3">
      <c r="A537" s="222"/>
      <c r="B537" s="225"/>
      <c r="C537" s="36" t="s">
        <v>23</v>
      </c>
      <c r="D537" s="47" t="s">
        <v>12</v>
      </c>
      <c r="E537" s="37">
        <v>8.8999999999999996E-2</v>
      </c>
      <c r="F537" s="31">
        <v>16.311500000000002</v>
      </c>
      <c r="G537" s="34">
        <f t="shared" si="10"/>
        <v>1.4517235000000002</v>
      </c>
      <c r="H537" s="35"/>
      <c r="I537" s="31"/>
      <c r="J537" s="156">
        <v>0</v>
      </c>
    </row>
    <row r="538" spans="1:10" ht="15.75" hidden="1" thickBot="1" x14ac:dyDescent="0.3">
      <c r="A538" s="222"/>
      <c r="B538" s="225"/>
      <c r="C538" s="36" t="s">
        <v>217</v>
      </c>
      <c r="D538" s="50" t="s">
        <v>105</v>
      </c>
      <c r="E538" s="37">
        <v>0.33</v>
      </c>
      <c r="F538" s="34">
        <v>19.227999999999998</v>
      </c>
      <c r="G538" s="34">
        <f t="shared" si="10"/>
        <v>6.3452399999999995</v>
      </c>
      <c r="H538" s="35"/>
      <c r="I538" s="31"/>
      <c r="J538" s="156">
        <v>0</v>
      </c>
    </row>
    <row r="539" spans="1:10" ht="15.75" hidden="1" thickBot="1" x14ac:dyDescent="0.3">
      <c r="A539" s="223"/>
      <c r="B539" s="226"/>
      <c r="C539" s="36"/>
      <c r="D539" s="36"/>
      <c r="E539" s="37"/>
      <c r="F539" s="31" t="s">
        <v>572</v>
      </c>
      <c r="G539" s="31" t="str">
        <f t="shared" si="10"/>
        <v/>
      </c>
      <c r="H539" s="35"/>
      <c r="I539" s="31"/>
      <c r="J539" s="156">
        <v>0</v>
      </c>
    </row>
    <row r="540" spans="1:10" ht="15.75" hidden="1" thickBot="1" x14ac:dyDescent="0.3">
      <c r="A540" s="221" t="s">
        <v>223</v>
      </c>
      <c r="B540" s="224" t="str">
        <f>INDEX(Orçamentária!A:B,MATCH(Composições!A540,Orçamentária!A:A,0),2)</f>
        <v>Cerâmica para revestimento de superfícies internas ou externas – Linha Administrativa</v>
      </c>
      <c r="C540" s="41"/>
      <c r="D540" s="26" t="str">
        <f>TRIM(INDEX(Orçamentária!C:C,MATCH(Composições!A540,Orçamentária!A:A,0),1))</f>
        <v>m2</v>
      </c>
      <c r="E540" s="27"/>
      <c r="F540" s="42" t="s">
        <v>572</v>
      </c>
      <c r="G540" s="28" t="str">
        <f t="shared" si="10"/>
        <v/>
      </c>
      <c r="H540" s="29"/>
      <c r="I540" s="30"/>
      <c r="J540" s="156">
        <v>0</v>
      </c>
    </row>
    <row r="541" spans="1:10" ht="15.75" hidden="1" thickBot="1" x14ac:dyDescent="0.3">
      <c r="A541" s="222"/>
      <c r="B541" s="225"/>
      <c r="C541" s="32"/>
      <c r="D541" s="32"/>
      <c r="E541" s="33"/>
      <c r="F541" s="43" t="s">
        <v>572</v>
      </c>
      <c r="G541" s="31" t="str">
        <f t="shared" si="10"/>
        <v/>
      </c>
      <c r="H541" s="35"/>
      <c r="I541" s="31"/>
      <c r="J541" s="156">
        <v>0</v>
      </c>
    </row>
    <row r="542" spans="1:10" ht="26.25" hidden="1" thickBot="1" x14ac:dyDescent="0.3">
      <c r="A542" s="222"/>
      <c r="B542" s="225"/>
      <c r="C542" s="36" t="s">
        <v>224</v>
      </c>
      <c r="D542" s="36" t="s">
        <v>96</v>
      </c>
      <c r="E542" s="37">
        <v>1.08</v>
      </c>
      <c r="F542" s="34">
        <v>40.222999999999999</v>
      </c>
      <c r="G542" s="34">
        <f t="shared" si="10"/>
        <v>43.440840000000001</v>
      </c>
      <c r="H542" s="39">
        <f>SUM(G542:G546)</f>
        <v>69.233720000000005</v>
      </c>
      <c r="I542" s="40"/>
      <c r="J542" s="156">
        <v>0</v>
      </c>
    </row>
    <row r="543" spans="1:10" ht="15.75" hidden="1" thickBot="1" x14ac:dyDescent="0.3">
      <c r="A543" s="222"/>
      <c r="B543" s="225"/>
      <c r="C543" s="36" t="s">
        <v>3624</v>
      </c>
      <c r="D543" s="36" t="s">
        <v>42</v>
      </c>
      <c r="E543" s="37">
        <v>6.14</v>
      </c>
      <c r="F543" s="34">
        <v>0.78849999999999998</v>
      </c>
      <c r="G543" s="34">
        <f t="shared" si="10"/>
        <v>4.8413899999999996</v>
      </c>
      <c r="H543" s="35"/>
      <c r="I543" s="31"/>
      <c r="J543" s="156">
        <v>0</v>
      </c>
    </row>
    <row r="544" spans="1:10" ht="15.75" hidden="1" thickBot="1" x14ac:dyDescent="0.3">
      <c r="A544" s="222"/>
      <c r="B544" s="225"/>
      <c r="C544" s="36" t="s">
        <v>3622</v>
      </c>
      <c r="D544" s="36" t="s">
        <v>42</v>
      </c>
      <c r="E544" s="37">
        <v>0.22</v>
      </c>
      <c r="F544" s="34">
        <v>2.508</v>
      </c>
      <c r="G544" s="34">
        <f t="shared" si="10"/>
        <v>0.55176000000000003</v>
      </c>
      <c r="H544" s="35"/>
      <c r="I544" s="31"/>
      <c r="J544" s="156">
        <v>0</v>
      </c>
    </row>
    <row r="545" spans="1:10" ht="15.75" hidden="1" thickBot="1" x14ac:dyDescent="0.3">
      <c r="A545" s="222"/>
      <c r="B545" s="225"/>
      <c r="C545" s="36" t="s">
        <v>36</v>
      </c>
      <c r="D545" s="36" t="s">
        <v>12</v>
      </c>
      <c r="E545" s="37">
        <v>0.66</v>
      </c>
      <c r="F545" s="31">
        <v>22.011500000000002</v>
      </c>
      <c r="G545" s="34">
        <f t="shared" si="10"/>
        <v>14.527590000000002</v>
      </c>
      <c r="H545" s="35"/>
      <c r="I545" s="31"/>
      <c r="J545" s="156">
        <v>0</v>
      </c>
    </row>
    <row r="546" spans="1:10" ht="15.75" hidden="1" thickBot="1" x14ac:dyDescent="0.3">
      <c r="A546" s="222"/>
      <c r="B546" s="225"/>
      <c r="C546" s="36" t="s">
        <v>23</v>
      </c>
      <c r="D546" s="36" t="s">
        <v>12</v>
      </c>
      <c r="E546" s="37">
        <v>0.36</v>
      </c>
      <c r="F546" s="31">
        <v>16.311500000000002</v>
      </c>
      <c r="G546" s="34">
        <f t="shared" si="10"/>
        <v>5.8721400000000008</v>
      </c>
      <c r="H546" s="35"/>
      <c r="I546" s="31"/>
      <c r="J546" s="156">
        <v>0</v>
      </c>
    </row>
    <row r="547" spans="1:10" ht="15.75" hidden="1" thickBot="1" x14ac:dyDescent="0.3">
      <c r="A547" s="223"/>
      <c r="B547" s="226"/>
      <c r="C547" s="36"/>
      <c r="D547" s="36"/>
      <c r="E547" s="37"/>
      <c r="F547" s="31" t="s">
        <v>572</v>
      </c>
      <c r="G547" s="31" t="str">
        <f t="shared" si="10"/>
        <v/>
      </c>
      <c r="H547" s="35"/>
      <c r="I547" s="31"/>
      <c r="J547" s="156">
        <v>0</v>
      </c>
    </row>
    <row r="548" spans="1:10" ht="15.75" hidden="1" thickBot="1" x14ac:dyDescent="0.3">
      <c r="A548" s="221" t="s">
        <v>225</v>
      </c>
      <c r="B548" s="224" t="str">
        <f>INDEX(Orçamentária!A:B,MATCH(Composições!A548,Orçamentária!A:A,0),2)</f>
        <v>Contrapiso em argamassa</v>
      </c>
      <c r="C548" s="41"/>
      <c r="D548" s="26" t="str">
        <f>TRIM(INDEX(Orçamentária!C:C,MATCH(Composições!A548,Orçamentária!A:A,0),1))</f>
        <v>m2</v>
      </c>
      <c r="E548" s="27"/>
      <c r="F548" s="42" t="s">
        <v>572</v>
      </c>
      <c r="G548" s="28" t="str">
        <f t="shared" si="10"/>
        <v/>
      </c>
      <c r="H548" s="29"/>
      <c r="I548" s="30"/>
      <c r="J548" s="156">
        <v>0</v>
      </c>
    </row>
    <row r="549" spans="1:10" ht="15.75" hidden="1" thickBot="1" x14ac:dyDescent="0.3">
      <c r="A549" s="222"/>
      <c r="B549" s="225"/>
      <c r="C549" s="32"/>
      <c r="D549" s="32"/>
      <c r="E549" s="33"/>
      <c r="F549" s="43" t="s">
        <v>572</v>
      </c>
      <c r="G549" s="31" t="str">
        <f t="shared" si="10"/>
        <v/>
      </c>
      <c r="H549" s="35"/>
      <c r="I549" s="31"/>
      <c r="J549" s="156">
        <v>0</v>
      </c>
    </row>
    <row r="550" spans="1:10" ht="26.25" hidden="1" thickBot="1" x14ac:dyDescent="0.3">
      <c r="A550" s="222"/>
      <c r="B550" s="225"/>
      <c r="C550" s="36" t="s">
        <v>226</v>
      </c>
      <c r="D550" s="36" t="s">
        <v>112</v>
      </c>
      <c r="E550" s="37">
        <v>5.2999999999999999E-2</v>
      </c>
      <c r="F550" s="34">
        <v>574.90620194499991</v>
      </c>
      <c r="G550" s="34">
        <f t="shared" si="10"/>
        <v>30.470028703084996</v>
      </c>
      <c r="H550" s="39">
        <f>SUM(G550:G554)</f>
        <v>46.864036203084993</v>
      </c>
      <c r="I550" s="40"/>
      <c r="J550" s="156">
        <v>0</v>
      </c>
    </row>
    <row r="551" spans="1:10" ht="15.75" hidden="1" thickBot="1" x14ac:dyDescent="0.3">
      <c r="A551" s="222"/>
      <c r="B551" s="225"/>
      <c r="C551" s="36" t="s">
        <v>22</v>
      </c>
      <c r="D551" s="36" t="s">
        <v>12</v>
      </c>
      <c r="E551" s="37">
        <v>0.36</v>
      </c>
      <c r="F551" s="31">
        <v>22.087499999999999</v>
      </c>
      <c r="G551" s="34">
        <f t="shared" si="10"/>
        <v>7.9514999999999993</v>
      </c>
      <c r="H551" s="35"/>
      <c r="I551" s="31"/>
      <c r="J551" s="156">
        <v>0</v>
      </c>
    </row>
    <row r="552" spans="1:10" ht="15.75" hidden="1" thickBot="1" x14ac:dyDescent="0.3">
      <c r="A552" s="222"/>
      <c r="B552" s="225"/>
      <c r="C552" s="36" t="s">
        <v>23</v>
      </c>
      <c r="D552" s="36" t="s">
        <v>12</v>
      </c>
      <c r="E552" s="37">
        <v>0.18</v>
      </c>
      <c r="F552" s="31">
        <v>16.311500000000002</v>
      </c>
      <c r="G552" s="34">
        <f t="shared" si="10"/>
        <v>2.9360700000000004</v>
      </c>
      <c r="H552" s="35"/>
      <c r="I552" s="31"/>
      <c r="J552" s="156">
        <v>0</v>
      </c>
    </row>
    <row r="553" spans="1:10" ht="15.75" hidden="1" thickBot="1" x14ac:dyDescent="0.3">
      <c r="A553" s="222"/>
      <c r="B553" s="225"/>
      <c r="C553" s="36" t="s">
        <v>118</v>
      </c>
      <c r="D553" s="47" t="s">
        <v>42</v>
      </c>
      <c r="E553" s="37">
        <v>0.5</v>
      </c>
      <c r="F553" s="34">
        <v>0.47499999999999998</v>
      </c>
      <c r="G553" s="34">
        <f t="shared" si="10"/>
        <v>0.23749999999999999</v>
      </c>
      <c r="H553" s="35"/>
      <c r="I553" s="31"/>
      <c r="J553" s="156">
        <v>0</v>
      </c>
    </row>
    <row r="554" spans="1:10" ht="15.75" hidden="1" thickBot="1" x14ac:dyDescent="0.3">
      <c r="A554" s="222"/>
      <c r="B554" s="225"/>
      <c r="C554" s="36" t="s">
        <v>227</v>
      </c>
      <c r="D554" s="50" t="s">
        <v>105</v>
      </c>
      <c r="E554" s="37">
        <v>0.435</v>
      </c>
      <c r="F554" s="34">
        <v>12.112499999999999</v>
      </c>
      <c r="G554" s="34">
        <f t="shared" si="10"/>
        <v>5.2689374999999998</v>
      </c>
      <c r="H554" s="35"/>
      <c r="I554" s="31"/>
      <c r="J554" s="156">
        <v>0</v>
      </c>
    </row>
    <row r="555" spans="1:10" ht="15.75" hidden="1" thickBot="1" x14ac:dyDescent="0.3">
      <c r="A555" s="223"/>
      <c r="B555" s="226"/>
      <c r="C555" s="36"/>
      <c r="D555" s="36"/>
      <c r="E555" s="37"/>
      <c r="F555" s="31" t="s">
        <v>572</v>
      </c>
      <c r="G555" s="31" t="str">
        <f t="shared" si="10"/>
        <v/>
      </c>
      <c r="H555" s="35"/>
      <c r="I555" s="31"/>
      <c r="J555" s="156">
        <v>0</v>
      </c>
    </row>
    <row r="556" spans="1:10" ht="15.75" thickBot="1" x14ac:dyDescent="0.3">
      <c r="A556" s="221" t="s">
        <v>228</v>
      </c>
      <c r="B556" s="224" t="str">
        <f>INDEX(Orçamentária!A:B,MATCH(Composições!A556,Orçamentária!A:A,0),2)</f>
        <v>Contrapiso em argamassa (e=2cm) ou Regularização de contrapiso existente</v>
      </c>
      <c r="C556" s="41"/>
      <c r="D556" s="26" t="str">
        <f>TRIM(INDEX(Orçamentária!C:C,MATCH(Composições!A556,Orçamentária!A:A,0),1))</f>
        <v>m2</v>
      </c>
      <c r="E556" s="27"/>
      <c r="F556" s="42" t="s">
        <v>572</v>
      </c>
      <c r="G556" s="28" t="str">
        <f t="shared" si="10"/>
        <v/>
      </c>
      <c r="H556" s="29"/>
      <c r="I556" s="30"/>
      <c r="J556" s="156">
        <v>0.52659999999999996</v>
      </c>
    </row>
    <row r="557" spans="1:10" x14ac:dyDescent="0.25">
      <c r="A557" s="222"/>
      <c r="B557" s="225"/>
      <c r="C557" s="32"/>
      <c r="D557" s="32"/>
      <c r="E557" s="33"/>
      <c r="F557" s="43" t="s">
        <v>572</v>
      </c>
      <c r="G557" s="31" t="str">
        <f t="shared" si="10"/>
        <v/>
      </c>
      <c r="H557" s="35"/>
      <c r="I557" s="31"/>
      <c r="J557" s="156">
        <v>0.52659999999999996</v>
      </c>
    </row>
    <row r="558" spans="1:10" x14ac:dyDescent="0.25">
      <c r="A558" s="222"/>
      <c r="B558" s="225"/>
      <c r="C558" s="36" t="s">
        <v>118</v>
      </c>
      <c r="D558" s="36" t="s">
        <v>42</v>
      </c>
      <c r="E558" s="37">
        <v>0.5</v>
      </c>
      <c r="F558" s="34">
        <v>0.47499999999999998</v>
      </c>
      <c r="G558" s="34">
        <f t="shared" si="10"/>
        <v>0.23749999999999999</v>
      </c>
      <c r="H558" s="39">
        <f>SUM(G558:G562)</f>
        <v>32.099072260294996</v>
      </c>
      <c r="I558" s="40"/>
      <c r="J558" s="156">
        <v>0.52659999999999996</v>
      </c>
    </row>
    <row r="559" spans="1:10" x14ac:dyDescent="0.25">
      <c r="A559" s="222"/>
      <c r="B559" s="225"/>
      <c r="C559" s="36" t="s">
        <v>227</v>
      </c>
      <c r="D559" s="50" t="s">
        <v>105</v>
      </c>
      <c r="E559" s="37">
        <v>0.435</v>
      </c>
      <c r="F559" s="34">
        <v>12.112499999999999</v>
      </c>
      <c r="G559" s="34">
        <f t="shared" si="10"/>
        <v>5.2689374999999998</v>
      </c>
      <c r="H559" s="35"/>
      <c r="I559" s="31"/>
      <c r="J559" s="156">
        <v>0.52659999999999996</v>
      </c>
    </row>
    <row r="560" spans="1:10" ht="25.5" x14ac:dyDescent="0.25">
      <c r="A560" s="222"/>
      <c r="B560" s="225"/>
      <c r="C560" s="36" t="s">
        <v>226</v>
      </c>
      <c r="D560" s="36" t="s">
        <v>112</v>
      </c>
      <c r="E560" s="37">
        <v>3.1E-2</v>
      </c>
      <c r="F560" s="34">
        <v>574.90620194499991</v>
      </c>
      <c r="G560" s="34">
        <f t="shared" si="10"/>
        <v>17.822092260294998</v>
      </c>
      <c r="H560" s="35"/>
      <c r="I560" s="31"/>
      <c r="J560" s="156">
        <v>0.52659999999999996</v>
      </c>
    </row>
    <row r="561" spans="1:10" x14ac:dyDescent="0.25">
      <c r="A561" s="222"/>
      <c r="B561" s="225"/>
      <c r="C561" s="36" t="s">
        <v>22</v>
      </c>
      <c r="D561" s="47" t="s">
        <v>12</v>
      </c>
      <c r="E561" s="37">
        <v>0.28999999999999998</v>
      </c>
      <c r="F561" s="31">
        <v>22.087499999999999</v>
      </c>
      <c r="G561" s="34">
        <f t="shared" si="10"/>
        <v>6.4053749999999994</v>
      </c>
      <c r="H561" s="35"/>
      <c r="I561" s="31"/>
      <c r="J561" s="156">
        <v>0.52659999999999996</v>
      </c>
    </row>
    <row r="562" spans="1:10" x14ac:dyDescent="0.25">
      <c r="A562" s="222"/>
      <c r="B562" s="225"/>
      <c r="C562" s="36" t="s">
        <v>23</v>
      </c>
      <c r="D562" s="47" t="s">
        <v>12</v>
      </c>
      <c r="E562" s="37">
        <v>0.14499999999999999</v>
      </c>
      <c r="F562" s="31">
        <v>16.311500000000002</v>
      </c>
      <c r="G562" s="34">
        <f t="shared" si="10"/>
        <v>2.3651675000000001</v>
      </c>
      <c r="H562" s="35"/>
      <c r="I562" s="31"/>
      <c r="J562" s="156">
        <v>0.52659999999999996</v>
      </c>
    </row>
    <row r="563" spans="1:10" ht="15.75" thickBot="1" x14ac:dyDescent="0.3">
      <c r="A563" s="223"/>
      <c r="B563" s="226"/>
      <c r="C563" s="36"/>
      <c r="D563" s="36"/>
      <c r="E563" s="37"/>
      <c r="F563" s="31" t="s">
        <v>572</v>
      </c>
      <c r="G563" s="31" t="str">
        <f t="shared" si="10"/>
        <v/>
      </c>
      <c r="H563" s="35"/>
      <c r="I563" s="31"/>
      <c r="J563" s="156">
        <v>0.52659999999999996</v>
      </c>
    </row>
    <row r="564" spans="1:10" ht="15.75" hidden="1" thickBot="1" x14ac:dyDescent="0.3">
      <c r="A564" s="221" t="s">
        <v>229</v>
      </c>
      <c r="B564" s="224" t="str">
        <f>INDEX(Orçamentária!A:B,MATCH(Composições!A564,Orçamentária!A:A,0),2)</f>
        <v>Granito cinza andorinha para piso</v>
      </c>
      <c r="C564" s="41"/>
      <c r="D564" s="26" t="str">
        <f>TRIM(INDEX(Orçamentária!C:C,MATCH(Composições!A564,Orçamentária!A:A,0),1))</f>
        <v>m2</v>
      </c>
      <c r="E564" s="27"/>
      <c r="F564" s="42" t="s">
        <v>572</v>
      </c>
      <c r="G564" s="28" t="str">
        <f t="shared" si="10"/>
        <v/>
      </c>
      <c r="H564" s="29"/>
      <c r="I564" s="30"/>
      <c r="J564" s="156">
        <v>0</v>
      </c>
    </row>
    <row r="565" spans="1:10" ht="15.75" hidden="1" thickBot="1" x14ac:dyDescent="0.3">
      <c r="A565" s="222"/>
      <c r="B565" s="225"/>
      <c r="C565" s="32"/>
      <c r="D565" s="32"/>
      <c r="E565" s="33"/>
      <c r="F565" s="43" t="s">
        <v>572</v>
      </c>
      <c r="G565" s="31" t="str">
        <f t="shared" si="10"/>
        <v/>
      </c>
      <c r="H565" s="35"/>
      <c r="I565" s="31"/>
      <c r="J565" s="156">
        <v>0</v>
      </c>
    </row>
    <row r="566" spans="1:10" ht="15.75" hidden="1" thickBot="1" x14ac:dyDescent="0.3">
      <c r="A566" s="222"/>
      <c r="B566" s="225"/>
      <c r="C566" s="36" t="s">
        <v>3623</v>
      </c>
      <c r="D566" s="36" t="s">
        <v>42</v>
      </c>
      <c r="E566" s="37">
        <v>8.6199999999999992</v>
      </c>
      <c r="F566" s="34">
        <v>1.3109999999999999</v>
      </c>
      <c r="G566" s="34">
        <f t="shared" si="10"/>
        <v>11.300819999999998</v>
      </c>
      <c r="H566" s="39">
        <f>SUM(G566:G570)</f>
        <v>43.224525</v>
      </c>
      <c r="I566" s="40"/>
      <c r="J566" s="156">
        <v>0</v>
      </c>
    </row>
    <row r="567" spans="1:10" ht="15.75" hidden="1" thickBot="1" x14ac:dyDescent="0.3">
      <c r="A567" s="222"/>
      <c r="B567" s="225"/>
      <c r="C567" s="36" t="s">
        <v>54</v>
      </c>
      <c r="D567" s="36" t="s">
        <v>12</v>
      </c>
      <c r="E567" s="37">
        <v>1.1879999999999999</v>
      </c>
      <c r="F567" s="31">
        <v>18.420500000000001</v>
      </c>
      <c r="G567" s="34">
        <f t="shared" si="10"/>
        <v>21.883554</v>
      </c>
      <c r="H567" s="35"/>
      <c r="I567" s="31"/>
      <c r="J567" s="156">
        <v>0</v>
      </c>
    </row>
    <row r="568" spans="1:10" ht="15.75" hidden="1" thickBot="1" x14ac:dyDescent="0.3">
      <c r="A568" s="222"/>
      <c r="B568" s="225"/>
      <c r="C568" s="36" t="s">
        <v>23</v>
      </c>
      <c r="D568" s="36" t="s">
        <v>12</v>
      </c>
      <c r="E568" s="37">
        <v>0.59399999999999997</v>
      </c>
      <c r="F568" s="31">
        <v>16.311500000000002</v>
      </c>
      <c r="G568" s="34">
        <f t="shared" si="10"/>
        <v>9.6890310000000017</v>
      </c>
      <c r="H568" s="35"/>
      <c r="I568" s="31"/>
      <c r="J568" s="156">
        <v>0</v>
      </c>
    </row>
    <row r="569" spans="1:10" ht="15.75" hidden="1" thickBot="1" x14ac:dyDescent="0.3">
      <c r="A569" s="222"/>
      <c r="B569" s="225"/>
      <c r="C569" s="36" t="s">
        <v>3622</v>
      </c>
      <c r="D569" s="36" t="s">
        <v>42</v>
      </c>
      <c r="E569" s="37">
        <v>0.14000000000000001</v>
      </c>
      <c r="F569" s="34">
        <v>2.508</v>
      </c>
      <c r="G569" s="34">
        <f t="shared" si="10"/>
        <v>0.35112000000000004</v>
      </c>
      <c r="H569" s="35"/>
      <c r="I569" s="31"/>
      <c r="J569" s="156">
        <v>0</v>
      </c>
    </row>
    <row r="570" spans="1:10" ht="15.75" hidden="1" thickBot="1" x14ac:dyDescent="0.3">
      <c r="A570" s="222"/>
      <c r="B570" s="225"/>
      <c r="C570" s="36" t="s">
        <v>230</v>
      </c>
      <c r="D570" s="36" t="s">
        <v>96</v>
      </c>
      <c r="E570" s="37">
        <v>1.1599999999999999</v>
      </c>
      <c r="F570" s="34" t="s">
        <v>572</v>
      </c>
      <c r="G570" s="54" t="str">
        <f t="shared" si="10"/>
        <v/>
      </c>
      <c r="H570" s="35"/>
      <c r="I570" s="31"/>
      <c r="J570" s="156">
        <v>0</v>
      </c>
    </row>
    <row r="571" spans="1:10" ht="15.75" hidden="1" thickBot="1" x14ac:dyDescent="0.3">
      <c r="A571" s="223"/>
      <c r="B571" s="226"/>
      <c r="C571" s="36"/>
      <c r="D571" s="36"/>
      <c r="E571" s="37"/>
      <c r="F571" s="31" t="s">
        <v>572</v>
      </c>
      <c r="G571" s="31" t="str">
        <f t="shared" si="10"/>
        <v/>
      </c>
      <c r="H571" s="35"/>
      <c r="I571" s="31"/>
      <c r="J571" s="156">
        <v>0</v>
      </c>
    </row>
    <row r="572" spans="1:10" ht="15.75" hidden="1" thickBot="1" x14ac:dyDescent="0.3">
      <c r="A572" s="221" t="s">
        <v>231</v>
      </c>
      <c r="B572" s="224" t="str">
        <f>INDEX(Orçamentária!A:B,MATCH(Composições!A572,Orçamentária!A:A,0),2)</f>
        <v>Granito Cinza Andorinha para rodapé</v>
      </c>
      <c r="C572" s="41"/>
      <c r="D572" s="26" t="str">
        <f>TRIM(INDEX(Orçamentária!C:C,MATCH(Composições!A572,Orçamentária!A:A,0),1))</f>
        <v>m2</v>
      </c>
      <c r="E572" s="27"/>
      <c r="F572" s="42" t="s">
        <v>572</v>
      </c>
      <c r="G572" s="28" t="str">
        <f t="shared" si="10"/>
        <v/>
      </c>
      <c r="H572" s="29"/>
      <c r="I572" s="30"/>
      <c r="J572" s="156">
        <v>0</v>
      </c>
    </row>
    <row r="573" spans="1:10" ht="15.75" hidden="1" thickBot="1" x14ac:dyDescent="0.3">
      <c r="A573" s="222"/>
      <c r="B573" s="225"/>
      <c r="C573" s="32"/>
      <c r="D573" s="32"/>
      <c r="E573" s="33"/>
      <c r="F573" s="43" t="s">
        <v>572</v>
      </c>
      <c r="G573" s="31" t="str">
        <f t="shared" si="10"/>
        <v/>
      </c>
      <c r="H573" s="35"/>
      <c r="I573" s="31"/>
      <c r="J573" s="156">
        <v>0</v>
      </c>
    </row>
    <row r="574" spans="1:10" ht="26.25" hidden="1" thickBot="1" x14ac:dyDescent="0.3">
      <c r="A574" s="222"/>
      <c r="B574" s="225"/>
      <c r="C574" s="36" t="s">
        <v>232</v>
      </c>
      <c r="D574" s="36" t="s">
        <v>94</v>
      </c>
      <c r="E574" s="37">
        <f>ROUND(1.04/0.07,4)</f>
        <v>14.857100000000001</v>
      </c>
      <c r="F574" s="34" t="s">
        <v>572</v>
      </c>
      <c r="G574" s="34" t="str">
        <f t="shared" si="10"/>
        <v/>
      </c>
      <c r="H574" s="39">
        <f>SUM(G574:G578)</f>
        <v>93.847099000000014</v>
      </c>
      <c r="I574" s="40"/>
      <c r="J574" s="156">
        <v>0</v>
      </c>
    </row>
    <row r="575" spans="1:10" ht="15.75" hidden="1" thickBot="1" x14ac:dyDescent="0.3">
      <c r="A575" s="222"/>
      <c r="B575" s="225"/>
      <c r="C575" s="36" t="s">
        <v>3623</v>
      </c>
      <c r="D575" s="36" t="s">
        <v>42</v>
      </c>
      <c r="E575" s="37">
        <f>ROUND(0.8614/0.1,4)</f>
        <v>8.6140000000000008</v>
      </c>
      <c r="F575" s="34">
        <v>1.3109999999999999</v>
      </c>
      <c r="G575" s="34">
        <f t="shared" si="10"/>
        <v>11.292954</v>
      </c>
      <c r="H575" s="45"/>
      <c r="I575" s="46"/>
      <c r="J575" s="156">
        <v>0</v>
      </c>
    </row>
    <row r="576" spans="1:10" ht="15.75" hidden="1" thickBot="1" x14ac:dyDescent="0.3">
      <c r="A576" s="222"/>
      <c r="B576" s="225"/>
      <c r="C576" s="36" t="s">
        <v>54</v>
      </c>
      <c r="D576" s="36" t="s">
        <v>12</v>
      </c>
      <c r="E576" s="37">
        <f>0.299/0.1</f>
        <v>2.9899999999999998</v>
      </c>
      <c r="F576" s="31">
        <v>18.420500000000001</v>
      </c>
      <c r="G576" s="34">
        <f t="shared" si="10"/>
        <v>55.077294999999999</v>
      </c>
      <c r="H576" s="35"/>
      <c r="I576" s="31"/>
      <c r="J576" s="156">
        <v>0</v>
      </c>
    </row>
    <row r="577" spans="1:10" ht="15.75" hidden="1" thickBot="1" x14ac:dyDescent="0.3">
      <c r="A577" s="222"/>
      <c r="B577" s="225"/>
      <c r="C577" s="36" t="s">
        <v>23</v>
      </c>
      <c r="D577" s="36" t="s">
        <v>12</v>
      </c>
      <c r="E577" s="37">
        <f>0.15/0.1</f>
        <v>1.4999999999999998</v>
      </c>
      <c r="F577" s="31">
        <v>16.311500000000002</v>
      </c>
      <c r="G577" s="34">
        <f t="shared" si="10"/>
        <v>24.46725</v>
      </c>
      <c r="H577" s="35"/>
      <c r="I577" s="31"/>
      <c r="J577" s="156">
        <v>0</v>
      </c>
    </row>
    <row r="578" spans="1:10" ht="15.75" hidden="1" thickBot="1" x14ac:dyDescent="0.3">
      <c r="A578" s="222"/>
      <c r="B578" s="225"/>
      <c r="C578" s="36" t="s">
        <v>3622</v>
      </c>
      <c r="D578" s="36" t="s">
        <v>42</v>
      </c>
      <c r="E578" s="37">
        <f>0.12/0.1</f>
        <v>1.2</v>
      </c>
      <c r="F578" s="34">
        <v>2.508</v>
      </c>
      <c r="G578" s="34">
        <f t="shared" si="10"/>
        <v>3.0095999999999998</v>
      </c>
      <c r="H578" s="35"/>
      <c r="I578" s="31"/>
      <c r="J578" s="156">
        <v>0</v>
      </c>
    </row>
    <row r="579" spans="1:10" ht="15.75" hidden="1" thickBot="1" x14ac:dyDescent="0.3">
      <c r="A579" s="222"/>
      <c r="B579" s="225"/>
      <c r="C579" s="36"/>
      <c r="D579" s="36"/>
      <c r="E579" s="37"/>
      <c r="F579" s="34" t="s">
        <v>572</v>
      </c>
      <c r="G579" s="34" t="str">
        <f t="shared" si="10"/>
        <v/>
      </c>
      <c r="H579" s="35"/>
      <c r="I579" s="31"/>
      <c r="J579" s="156">
        <v>0</v>
      </c>
    </row>
    <row r="580" spans="1:10" ht="26.25" hidden="1" thickBot="1" x14ac:dyDescent="0.3">
      <c r="A580" s="222"/>
      <c r="B580" s="225"/>
      <c r="C580" s="48" t="s">
        <v>233</v>
      </c>
      <c r="D580" s="36"/>
      <c r="E580" s="37"/>
      <c r="F580" s="34" t="s">
        <v>572</v>
      </c>
      <c r="G580" s="34" t="str">
        <f t="shared" si="10"/>
        <v/>
      </c>
      <c r="H580" s="35"/>
      <c r="I580" s="31"/>
      <c r="J580" s="156">
        <v>0</v>
      </c>
    </row>
    <row r="581" spans="1:10" ht="15.75" hidden="1" thickBot="1" x14ac:dyDescent="0.3">
      <c r="A581" s="223"/>
      <c r="B581" s="226"/>
      <c r="C581" s="36"/>
      <c r="D581" s="36"/>
      <c r="E581" s="37"/>
      <c r="F581" s="31" t="s">
        <v>572</v>
      </c>
      <c r="G581" s="31" t="str">
        <f t="shared" si="10"/>
        <v/>
      </c>
      <c r="H581" s="35"/>
      <c r="I581" s="31"/>
      <c r="J581" s="156">
        <v>0</v>
      </c>
    </row>
    <row r="582" spans="1:10" ht="15.75" hidden="1" thickBot="1" x14ac:dyDescent="0.3">
      <c r="A582" s="221" t="s">
        <v>234</v>
      </c>
      <c r="B582" s="224" t="str">
        <f>INDEX(Orçamentária!A:B,MATCH(Composições!A582,Orçamentária!A:A,0),2)</f>
        <v>Granito Cinza Andorinha para soleira e peitoril</v>
      </c>
      <c r="C582" s="41"/>
      <c r="D582" s="26" t="str">
        <f>TRIM(INDEX(Orçamentária!C:C,MATCH(Composições!A582,Orçamentária!A:A,0),1))</f>
        <v>m2</v>
      </c>
      <c r="E582" s="27"/>
      <c r="F582" s="42" t="s">
        <v>572</v>
      </c>
      <c r="G582" s="28" t="str">
        <f t="shared" si="10"/>
        <v/>
      </c>
      <c r="H582" s="29"/>
      <c r="I582" s="30"/>
      <c r="J582" s="156">
        <v>0</v>
      </c>
    </row>
    <row r="583" spans="1:10" ht="15.75" hidden="1" thickBot="1" x14ac:dyDescent="0.3">
      <c r="A583" s="222"/>
      <c r="B583" s="225"/>
      <c r="C583" s="32"/>
      <c r="D583" s="32"/>
      <c r="E583" s="33"/>
      <c r="F583" s="43" t="s">
        <v>572</v>
      </c>
      <c r="G583" s="31" t="str">
        <f t="shared" si="10"/>
        <v/>
      </c>
      <c r="H583" s="35"/>
      <c r="I583" s="31"/>
      <c r="J583" s="156">
        <v>0</v>
      </c>
    </row>
    <row r="584" spans="1:10" ht="26.25" hidden="1" thickBot="1" x14ac:dyDescent="0.3">
      <c r="A584" s="222"/>
      <c r="B584" s="225"/>
      <c r="C584" s="36" t="s">
        <v>235</v>
      </c>
      <c r="D584" s="36" t="s">
        <v>94</v>
      </c>
      <c r="E584" s="37">
        <f>ROUND(1/0.15,4)</f>
        <v>6.6666999999999996</v>
      </c>
      <c r="F584" s="34" t="s">
        <v>572</v>
      </c>
      <c r="G584" s="34" t="str">
        <f t="shared" si="10"/>
        <v/>
      </c>
      <c r="H584" s="39">
        <f>SUM(G584:G587)</f>
        <v>108.13556735000002</v>
      </c>
      <c r="I584" s="40"/>
      <c r="J584" s="156">
        <v>0</v>
      </c>
    </row>
    <row r="585" spans="1:10" ht="15.75" hidden="1" thickBot="1" x14ac:dyDescent="0.3">
      <c r="A585" s="222"/>
      <c r="B585" s="225"/>
      <c r="C585" s="36" t="s">
        <v>3623</v>
      </c>
      <c r="D585" s="36" t="s">
        <v>42</v>
      </c>
      <c r="E585" s="37">
        <f>1.29/0.15</f>
        <v>8.6000000000000014</v>
      </c>
      <c r="F585" s="34">
        <v>1.3109999999999999</v>
      </c>
      <c r="G585" s="34">
        <f t="shared" si="10"/>
        <v>11.274600000000001</v>
      </c>
      <c r="H585" s="35"/>
      <c r="I585" s="31"/>
      <c r="J585" s="156">
        <v>0</v>
      </c>
    </row>
    <row r="586" spans="1:10" ht="15.75" hidden="1" thickBot="1" x14ac:dyDescent="0.3">
      <c r="A586" s="222"/>
      <c r="B586" s="225"/>
      <c r="C586" s="36" t="s">
        <v>54</v>
      </c>
      <c r="D586" s="36" t="s">
        <v>12</v>
      </c>
      <c r="E586" s="37">
        <f>ROUND(0.547/0.15,4)</f>
        <v>3.6467000000000001</v>
      </c>
      <c r="F586" s="31">
        <v>18.420500000000001</v>
      </c>
      <c r="G586" s="34">
        <f t="shared" si="10"/>
        <v>67.174037350000006</v>
      </c>
      <c r="H586" s="35"/>
      <c r="I586" s="31"/>
      <c r="J586" s="156">
        <v>0</v>
      </c>
    </row>
    <row r="587" spans="1:10" ht="15.75" hidden="1" thickBot="1" x14ac:dyDescent="0.3">
      <c r="A587" s="222"/>
      <c r="B587" s="225"/>
      <c r="C587" s="36" t="s">
        <v>23</v>
      </c>
      <c r="D587" s="36" t="s">
        <v>12</v>
      </c>
      <c r="E587" s="37">
        <f>ROUND(0.273/0.15,4)</f>
        <v>1.82</v>
      </c>
      <c r="F587" s="31">
        <v>16.311500000000002</v>
      </c>
      <c r="G587" s="34">
        <f t="shared" si="10"/>
        <v>29.686930000000004</v>
      </c>
      <c r="H587" s="35"/>
      <c r="I587" s="31"/>
      <c r="J587" s="156">
        <v>0</v>
      </c>
    </row>
    <row r="588" spans="1:10" ht="15.75" hidden="1" thickBot="1" x14ac:dyDescent="0.3">
      <c r="A588" s="222"/>
      <c r="B588" s="225"/>
      <c r="C588" s="36"/>
      <c r="D588" s="36"/>
      <c r="E588" s="37"/>
      <c r="F588" s="31" t="s">
        <v>572</v>
      </c>
      <c r="G588" s="34" t="str">
        <f t="shared" si="10"/>
        <v/>
      </c>
      <c r="H588" s="35"/>
      <c r="I588" s="31"/>
      <c r="J588" s="156">
        <v>0</v>
      </c>
    </row>
    <row r="589" spans="1:10" ht="26.25" hidden="1" thickBot="1" x14ac:dyDescent="0.3">
      <c r="A589" s="222"/>
      <c r="B589" s="225"/>
      <c r="C589" s="48" t="s">
        <v>236</v>
      </c>
      <c r="D589" s="36"/>
      <c r="E589" s="37"/>
      <c r="F589" s="31" t="s">
        <v>572</v>
      </c>
      <c r="G589" s="34" t="str">
        <f t="shared" si="10"/>
        <v/>
      </c>
      <c r="H589" s="35"/>
      <c r="I589" s="31"/>
      <c r="J589" s="156">
        <v>0</v>
      </c>
    </row>
    <row r="590" spans="1:10" ht="15.75" hidden="1" thickBot="1" x14ac:dyDescent="0.3">
      <c r="A590" s="223"/>
      <c r="B590" s="226"/>
      <c r="C590" s="36"/>
      <c r="D590" s="36"/>
      <c r="E590" s="37"/>
      <c r="F590" s="31" t="s">
        <v>572</v>
      </c>
      <c r="G590" s="31" t="str">
        <f t="shared" si="10"/>
        <v/>
      </c>
      <c r="H590" s="35"/>
      <c r="I590" s="31"/>
      <c r="J590" s="156">
        <v>0</v>
      </c>
    </row>
    <row r="591" spans="1:10" ht="15.75" hidden="1" thickBot="1" x14ac:dyDescent="0.3">
      <c r="A591" s="221" t="s">
        <v>237</v>
      </c>
      <c r="B591" s="224" t="str">
        <f>INDEX(Orçamentária!A:B,MATCH(Composições!A591,Orçamentária!A:A,0),2)</f>
        <v>Granito Preto São Gabriel para piso</v>
      </c>
      <c r="C591" s="41"/>
      <c r="D591" s="26" t="str">
        <f>TRIM(INDEX(Orçamentária!C:C,MATCH(Composições!A591,Orçamentária!A:A,0),1))</f>
        <v>m2</v>
      </c>
      <c r="E591" s="27"/>
      <c r="F591" s="42" t="s">
        <v>572</v>
      </c>
      <c r="G591" s="28" t="str">
        <f t="shared" si="10"/>
        <v/>
      </c>
      <c r="H591" s="29"/>
      <c r="I591" s="30"/>
      <c r="J591" s="156">
        <v>0</v>
      </c>
    </row>
    <row r="592" spans="1:10" ht="15.75" hidden="1" thickBot="1" x14ac:dyDescent="0.3">
      <c r="A592" s="222"/>
      <c r="B592" s="225"/>
      <c r="C592" s="32"/>
      <c r="D592" s="32"/>
      <c r="E592" s="33"/>
      <c r="F592" s="43" t="s">
        <v>572</v>
      </c>
      <c r="G592" s="31" t="str">
        <f t="shared" si="10"/>
        <v/>
      </c>
      <c r="H592" s="35"/>
      <c r="I592" s="31"/>
      <c r="J592" s="156">
        <v>0</v>
      </c>
    </row>
    <row r="593" spans="1:10" ht="15.75" hidden="1" thickBot="1" x14ac:dyDescent="0.3">
      <c r="A593" s="222"/>
      <c r="B593" s="225"/>
      <c r="C593" s="36" t="s">
        <v>3623</v>
      </c>
      <c r="D593" s="36" t="s">
        <v>42</v>
      </c>
      <c r="E593" s="37">
        <v>8.6199999999999992</v>
      </c>
      <c r="F593" s="34">
        <v>1.3109999999999999</v>
      </c>
      <c r="G593" s="34">
        <f t="shared" si="10"/>
        <v>11.300819999999998</v>
      </c>
      <c r="H593" s="39">
        <f>SUM(G593:G597)</f>
        <v>43.224525</v>
      </c>
      <c r="I593" s="40"/>
      <c r="J593" s="156">
        <v>0</v>
      </c>
    </row>
    <row r="594" spans="1:10" ht="15.75" hidden="1" thickBot="1" x14ac:dyDescent="0.3">
      <c r="A594" s="222"/>
      <c r="B594" s="225"/>
      <c r="C594" s="36" t="s">
        <v>54</v>
      </c>
      <c r="D594" s="36" t="s">
        <v>12</v>
      </c>
      <c r="E594" s="37">
        <v>1.1879999999999999</v>
      </c>
      <c r="F594" s="31">
        <v>18.420500000000001</v>
      </c>
      <c r="G594" s="34">
        <f t="shared" si="10"/>
        <v>21.883554</v>
      </c>
      <c r="H594" s="35"/>
      <c r="I594" s="31"/>
      <c r="J594" s="156">
        <v>0</v>
      </c>
    </row>
    <row r="595" spans="1:10" ht="15.75" hidden="1" thickBot="1" x14ac:dyDescent="0.3">
      <c r="A595" s="222"/>
      <c r="B595" s="225"/>
      <c r="C595" s="36" t="s">
        <v>23</v>
      </c>
      <c r="D595" s="36" t="s">
        <v>12</v>
      </c>
      <c r="E595" s="37">
        <v>0.59399999999999997</v>
      </c>
      <c r="F595" s="31">
        <v>16.311500000000002</v>
      </c>
      <c r="G595" s="34">
        <f t="shared" si="10"/>
        <v>9.6890310000000017</v>
      </c>
      <c r="H595" s="35"/>
      <c r="I595" s="31"/>
      <c r="J595" s="156">
        <v>0</v>
      </c>
    </row>
    <row r="596" spans="1:10" ht="15.75" hidden="1" thickBot="1" x14ac:dyDescent="0.3">
      <c r="A596" s="222"/>
      <c r="B596" s="225"/>
      <c r="C596" s="36" t="s">
        <v>3622</v>
      </c>
      <c r="D596" s="36" t="s">
        <v>42</v>
      </c>
      <c r="E596" s="37">
        <v>0.14000000000000001</v>
      </c>
      <c r="F596" s="34">
        <v>2.508</v>
      </c>
      <c r="G596" s="34">
        <f t="shared" si="10"/>
        <v>0.35112000000000004</v>
      </c>
      <c r="H596" s="35"/>
      <c r="I596" s="31"/>
      <c r="J596" s="156">
        <v>0</v>
      </c>
    </row>
    <row r="597" spans="1:10" ht="15.75" hidden="1" thickBot="1" x14ac:dyDescent="0.3">
      <c r="A597" s="222"/>
      <c r="B597" s="225"/>
      <c r="C597" s="36" t="s">
        <v>238</v>
      </c>
      <c r="D597" s="36" t="s">
        <v>96</v>
      </c>
      <c r="E597" s="37">
        <v>1.1599999999999999</v>
      </c>
      <c r="F597" s="34" t="s">
        <v>572</v>
      </c>
      <c r="G597" s="54" t="str">
        <f t="shared" ref="G597:G660" si="11">IF(ISNUMBER(F597),E597*F597,"")</f>
        <v/>
      </c>
      <c r="H597" s="35"/>
      <c r="I597" s="31"/>
      <c r="J597" s="156">
        <v>0</v>
      </c>
    </row>
    <row r="598" spans="1:10" ht="15.75" hidden="1" thickBot="1" x14ac:dyDescent="0.3">
      <c r="A598" s="223"/>
      <c r="B598" s="226"/>
      <c r="C598" s="36"/>
      <c r="D598" s="36"/>
      <c r="E598" s="37"/>
      <c r="F598" s="31" t="s">
        <v>572</v>
      </c>
      <c r="G598" s="31" t="str">
        <f t="shared" si="11"/>
        <v/>
      </c>
      <c r="H598" s="35"/>
      <c r="I598" s="31"/>
      <c r="J598" s="156">
        <v>0</v>
      </c>
    </row>
    <row r="599" spans="1:10" ht="15.75" hidden="1" thickBot="1" x14ac:dyDescent="0.3">
      <c r="A599" s="221" t="s">
        <v>239</v>
      </c>
      <c r="B599" s="224" t="str">
        <f>INDEX(Orçamentária!A:B,MATCH(Composições!A599,Orçamentária!A:A,0),2)</f>
        <v>Granito Preto São Gabriel para rodapé</v>
      </c>
      <c r="C599" s="41"/>
      <c r="D599" s="26" t="str">
        <f>TRIM(INDEX(Orçamentária!C:C,MATCH(Composições!A599,Orçamentária!A:A,0),1))</f>
        <v>m2</v>
      </c>
      <c r="E599" s="27"/>
      <c r="F599" s="42" t="s">
        <v>572</v>
      </c>
      <c r="G599" s="28" t="str">
        <f t="shared" si="11"/>
        <v/>
      </c>
      <c r="H599" s="29"/>
      <c r="I599" s="30"/>
      <c r="J599" s="156">
        <v>0</v>
      </c>
    </row>
    <row r="600" spans="1:10" ht="15.75" hidden="1" thickBot="1" x14ac:dyDescent="0.3">
      <c r="A600" s="222"/>
      <c r="B600" s="225"/>
      <c r="C600" s="32"/>
      <c r="D600" s="32"/>
      <c r="E600" s="33"/>
      <c r="F600" s="43" t="s">
        <v>572</v>
      </c>
      <c r="G600" s="31" t="str">
        <f t="shared" si="11"/>
        <v/>
      </c>
      <c r="H600" s="35"/>
      <c r="I600" s="31"/>
      <c r="J600" s="156">
        <v>0</v>
      </c>
    </row>
    <row r="601" spans="1:10" ht="26.25" hidden="1" thickBot="1" x14ac:dyDescent="0.3">
      <c r="A601" s="222"/>
      <c r="B601" s="225"/>
      <c r="C601" s="36" t="s">
        <v>240</v>
      </c>
      <c r="D601" s="36" t="s">
        <v>94</v>
      </c>
      <c r="E601" s="37">
        <f>ROUND(1.04/0.07,2)</f>
        <v>14.86</v>
      </c>
      <c r="F601" s="34" t="s">
        <v>572</v>
      </c>
      <c r="G601" s="34" t="str">
        <f t="shared" si="11"/>
        <v/>
      </c>
      <c r="H601" s="39">
        <f>SUM(G601:G605)</f>
        <v>93.847099000000014</v>
      </c>
      <c r="I601" s="40"/>
      <c r="J601" s="156">
        <v>0</v>
      </c>
    </row>
    <row r="602" spans="1:10" ht="15.75" hidden="1" thickBot="1" x14ac:dyDescent="0.3">
      <c r="A602" s="222"/>
      <c r="B602" s="225"/>
      <c r="C602" s="36" t="s">
        <v>3623</v>
      </c>
      <c r="D602" s="36" t="s">
        <v>42</v>
      </c>
      <c r="E602" s="37">
        <f>ROUND(0.8614/0.1,4)</f>
        <v>8.6140000000000008</v>
      </c>
      <c r="F602" s="34">
        <v>1.3109999999999999</v>
      </c>
      <c r="G602" s="34">
        <f t="shared" si="11"/>
        <v>11.292954</v>
      </c>
      <c r="H602" s="35"/>
      <c r="I602" s="31"/>
      <c r="J602" s="156">
        <v>0</v>
      </c>
    </row>
    <row r="603" spans="1:10" ht="15.75" hidden="1" thickBot="1" x14ac:dyDescent="0.3">
      <c r="A603" s="222"/>
      <c r="B603" s="225"/>
      <c r="C603" s="36" t="s">
        <v>54</v>
      </c>
      <c r="D603" s="36" t="s">
        <v>12</v>
      </c>
      <c r="E603" s="37">
        <f>0.299/0.1</f>
        <v>2.9899999999999998</v>
      </c>
      <c r="F603" s="31">
        <v>18.420500000000001</v>
      </c>
      <c r="G603" s="34">
        <f t="shared" si="11"/>
        <v>55.077294999999999</v>
      </c>
      <c r="H603" s="35"/>
      <c r="I603" s="31"/>
      <c r="J603" s="156">
        <v>0</v>
      </c>
    </row>
    <row r="604" spans="1:10" ht="15.75" hidden="1" thickBot="1" x14ac:dyDescent="0.3">
      <c r="A604" s="222"/>
      <c r="B604" s="225"/>
      <c r="C604" s="36" t="s">
        <v>23</v>
      </c>
      <c r="D604" s="36" t="s">
        <v>12</v>
      </c>
      <c r="E604" s="37">
        <f>0.15/0.1</f>
        <v>1.4999999999999998</v>
      </c>
      <c r="F604" s="31">
        <v>16.311500000000002</v>
      </c>
      <c r="G604" s="34">
        <f t="shared" si="11"/>
        <v>24.46725</v>
      </c>
      <c r="H604" s="35"/>
      <c r="I604" s="31"/>
      <c r="J604" s="156">
        <v>0</v>
      </c>
    </row>
    <row r="605" spans="1:10" ht="15.75" hidden="1" thickBot="1" x14ac:dyDescent="0.3">
      <c r="A605" s="222"/>
      <c r="B605" s="225"/>
      <c r="C605" s="36" t="s">
        <v>3622</v>
      </c>
      <c r="D605" s="36" t="s">
        <v>42</v>
      </c>
      <c r="E605" s="37">
        <f>0.12/0.1</f>
        <v>1.2</v>
      </c>
      <c r="F605" s="34">
        <v>2.508</v>
      </c>
      <c r="G605" s="34">
        <f t="shared" si="11"/>
        <v>3.0095999999999998</v>
      </c>
      <c r="H605" s="35"/>
      <c r="I605" s="31"/>
      <c r="J605" s="156">
        <v>0</v>
      </c>
    </row>
    <row r="606" spans="1:10" ht="15.75" hidden="1" thickBot="1" x14ac:dyDescent="0.3">
      <c r="A606" s="222"/>
      <c r="B606" s="225"/>
      <c r="C606" s="36"/>
      <c r="D606" s="36"/>
      <c r="E606" s="37"/>
      <c r="F606" s="34" t="s">
        <v>572</v>
      </c>
      <c r="G606" s="34" t="str">
        <f t="shared" si="11"/>
        <v/>
      </c>
      <c r="H606" s="35"/>
      <c r="I606" s="31"/>
      <c r="J606" s="156">
        <v>0</v>
      </c>
    </row>
    <row r="607" spans="1:10" ht="26.25" hidden="1" thickBot="1" x14ac:dyDescent="0.3">
      <c r="A607" s="222"/>
      <c r="B607" s="225"/>
      <c r="C607" s="48" t="s">
        <v>233</v>
      </c>
      <c r="D607" s="36"/>
      <c r="E607" s="37"/>
      <c r="F607" s="34" t="s">
        <v>572</v>
      </c>
      <c r="G607" s="34" t="str">
        <f t="shared" si="11"/>
        <v/>
      </c>
      <c r="H607" s="35"/>
      <c r="I607" s="31"/>
      <c r="J607" s="156">
        <v>0</v>
      </c>
    </row>
    <row r="608" spans="1:10" ht="15.75" hidden="1" thickBot="1" x14ac:dyDescent="0.3">
      <c r="A608" s="223"/>
      <c r="B608" s="226"/>
      <c r="C608" s="36"/>
      <c r="D608" s="36"/>
      <c r="E608" s="37"/>
      <c r="F608" s="31" t="s">
        <v>572</v>
      </c>
      <c r="G608" s="31" t="str">
        <f t="shared" si="11"/>
        <v/>
      </c>
      <c r="H608" s="35"/>
      <c r="I608" s="31"/>
      <c r="J608" s="156">
        <v>0</v>
      </c>
    </row>
    <row r="609" spans="1:10" ht="15.75" hidden="1" thickBot="1" x14ac:dyDescent="0.3">
      <c r="A609" s="221" t="s">
        <v>241</v>
      </c>
      <c r="B609" s="224" t="str">
        <f>INDEX(Orçamentária!A:B,MATCH(Composições!A609,Orçamentária!A:A,0),2)</f>
        <v>Granito Preto São Gabriel para soleira e peitoril</v>
      </c>
      <c r="C609" s="41"/>
      <c r="D609" s="26" t="str">
        <f>TRIM(INDEX(Orçamentária!C:C,MATCH(Composições!A609,Orçamentária!A:A,0),1))</f>
        <v>m2</v>
      </c>
      <c r="E609" s="27"/>
      <c r="F609" s="42" t="s">
        <v>572</v>
      </c>
      <c r="G609" s="28" t="str">
        <f t="shared" si="11"/>
        <v/>
      </c>
      <c r="H609" s="29"/>
      <c r="I609" s="30"/>
      <c r="J609" s="156">
        <v>0</v>
      </c>
    </row>
    <row r="610" spans="1:10" ht="15.75" hidden="1" thickBot="1" x14ac:dyDescent="0.3">
      <c r="A610" s="222"/>
      <c r="B610" s="225"/>
      <c r="C610" s="32"/>
      <c r="D610" s="32"/>
      <c r="E610" s="33"/>
      <c r="F610" s="43" t="s">
        <v>572</v>
      </c>
      <c r="G610" s="31" t="str">
        <f t="shared" si="11"/>
        <v/>
      </c>
      <c r="H610" s="35"/>
      <c r="I610" s="31"/>
      <c r="J610" s="156">
        <v>0</v>
      </c>
    </row>
    <row r="611" spans="1:10" ht="26.25" hidden="1" thickBot="1" x14ac:dyDescent="0.3">
      <c r="A611" s="222"/>
      <c r="B611" s="225"/>
      <c r="C611" s="36" t="s">
        <v>242</v>
      </c>
      <c r="D611" s="36" t="s">
        <v>94</v>
      </c>
      <c r="E611" s="37">
        <f>ROUND(1/0.15,4)</f>
        <v>6.6666999999999996</v>
      </c>
      <c r="F611" s="34" t="s">
        <v>572</v>
      </c>
      <c r="G611" s="34" t="str">
        <f t="shared" si="11"/>
        <v/>
      </c>
      <c r="H611" s="39">
        <f>SUM(G611:G614)</f>
        <v>108.13556735000002</v>
      </c>
      <c r="I611" s="40"/>
      <c r="J611" s="156">
        <v>0</v>
      </c>
    </row>
    <row r="612" spans="1:10" ht="15.75" hidden="1" thickBot="1" x14ac:dyDescent="0.3">
      <c r="A612" s="222"/>
      <c r="B612" s="225"/>
      <c r="C612" s="36" t="s">
        <v>3623</v>
      </c>
      <c r="D612" s="36" t="s">
        <v>42</v>
      </c>
      <c r="E612" s="37">
        <f>ROUND(1.29/0.15,4)</f>
        <v>8.6</v>
      </c>
      <c r="F612" s="34">
        <v>1.3109999999999999</v>
      </c>
      <c r="G612" s="34">
        <f t="shared" si="11"/>
        <v>11.2746</v>
      </c>
      <c r="H612" s="35"/>
      <c r="I612" s="31"/>
      <c r="J612" s="156">
        <v>0</v>
      </c>
    </row>
    <row r="613" spans="1:10" ht="15.75" hidden="1" thickBot="1" x14ac:dyDescent="0.3">
      <c r="A613" s="222"/>
      <c r="B613" s="225"/>
      <c r="C613" s="36" t="s">
        <v>54</v>
      </c>
      <c r="D613" s="36" t="s">
        <v>12</v>
      </c>
      <c r="E613" s="37">
        <f>ROUND(0.547/0.15,4)</f>
        <v>3.6467000000000001</v>
      </c>
      <c r="F613" s="31">
        <v>18.420500000000001</v>
      </c>
      <c r="G613" s="34">
        <f t="shared" si="11"/>
        <v>67.174037350000006</v>
      </c>
      <c r="H613" s="35"/>
      <c r="I613" s="31"/>
      <c r="J613" s="156">
        <v>0</v>
      </c>
    </row>
    <row r="614" spans="1:10" ht="15.75" hidden="1" thickBot="1" x14ac:dyDescent="0.3">
      <c r="A614" s="222"/>
      <c r="B614" s="225"/>
      <c r="C614" s="36" t="s">
        <v>23</v>
      </c>
      <c r="D614" s="36" t="s">
        <v>12</v>
      </c>
      <c r="E614" s="37">
        <f>ROUND(0.273/0.15,4)</f>
        <v>1.82</v>
      </c>
      <c r="F614" s="31">
        <v>16.311500000000002</v>
      </c>
      <c r="G614" s="34">
        <f t="shared" si="11"/>
        <v>29.686930000000004</v>
      </c>
      <c r="H614" s="35"/>
      <c r="I614" s="31"/>
      <c r="J614" s="156">
        <v>0</v>
      </c>
    </row>
    <row r="615" spans="1:10" ht="15.75" hidden="1" thickBot="1" x14ac:dyDescent="0.3">
      <c r="A615" s="222"/>
      <c r="B615" s="225"/>
      <c r="C615" s="36"/>
      <c r="D615" s="36"/>
      <c r="E615" s="37"/>
      <c r="F615" s="31" t="s">
        <v>572</v>
      </c>
      <c r="G615" s="34" t="str">
        <f t="shared" si="11"/>
        <v/>
      </c>
      <c r="H615" s="35"/>
      <c r="I615" s="31"/>
      <c r="J615" s="156">
        <v>0</v>
      </c>
    </row>
    <row r="616" spans="1:10" ht="26.25" hidden="1" thickBot="1" x14ac:dyDescent="0.3">
      <c r="A616" s="222"/>
      <c r="B616" s="225"/>
      <c r="C616" s="48" t="s">
        <v>236</v>
      </c>
      <c r="D616" s="36"/>
      <c r="E616" s="37"/>
      <c r="F616" s="31" t="s">
        <v>572</v>
      </c>
      <c r="G616" s="34" t="str">
        <f t="shared" si="11"/>
        <v/>
      </c>
      <c r="H616" s="35"/>
      <c r="I616" s="31"/>
      <c r="J616" s="156">
        <v>0</v>
      </c>
    </row>
    <row r="617" spans="1:10" ht="15.75" hidden="1" thickBot="1" x14ac:dyDescent="0.3">
      <c r="A617" s="223"/>
      <c r="B617" s="226"/>
      <c r="C617" s="36"/>
      <c r="D617" s="36"/>
      <c r="E617" s="37"/>
      <c r="F617" s="31" t="s">
        <v>572</v>
      </c>
      <c r="G617" s="31" t="str">
        <f t="shared" si="11"/>
        <v/>
      </c>
      <c r="H617" s="35"/>
      <c r="I617" s="31"/>
      <c r="J617" s="156">
        <v>0</v>
      </c>
    </row>
    <row r="618" spans="1:10" ht="15.75" hidden="1" thickBot="1" x14ac:dyDescent="0.3">
      <c r="A618" s="221" t="s">
        <v>243</v>
      </c>
      <c r="B618" s="224" t="str">
        <f>INDEX(Orçamentária!A:B,MATCH(Composições!A618,Orçamentária!A:A,0),2)</f>
        <v>Instalação de rodapé de madeira reaproveitado</v>
      </c>
      <c r="C618" s="41"/>
      <c r="D618" s="26" t="str">
        <f>TRIM(INDEX(Orçamentária!C:C,MATCH(Composições!A618,Orçamentária!A:A,0),1))</f>
        <v>m</v>
      </c>
      <c r="E618" s="27"/>
      <c r="F618" s="42" t="s">
        <v>572</v>
      </c>
      <c r="G618" s="28" t="str">
        <f t="shared" si="11"/>
        <v/>
      </c>
      <c r="H618" s="29"/>
      <c r="I618" s="30"/>
      <c r="J618" s="156">
        <v>0</v>
      </c>
    </row>
    <row r="619" spans="1:10" ht="15.75" hidden="1" thickBot="1" x14ac:dyDescent="0.3">
      <c r="A619" s="222"/>
      <c r="B619" s="225"/>
      <c r="C619" s="32"/>
      <c r="D619" s="32"/>
      <c r="E619" s="33"/>
      <c r="F619" s="43" t="s">
        <v>572</v>
      </c>
      <c r="G619" s="31" t="str">
        <f t="shared" si="11"/>
        <v/>
      </c>
      <c r="H619" s="35"/>
      <c r="I619" s="31"/>
      <c r="J619" s="156">
        <v>0</v>
      </c>
    </row>
    <row r="620" spans="1:10" ht="15.75" hidden="1" thickBot="1" x14ac:dyDescent="0.3">
      <c r="A620" s="222"/>
      <c r="B620" s="225"/>
      <c r="C620" s="36" t="s">
        <v>1313</v>
      </c>
      <c r="D620" s="47" t="s">
        <v>105</v>
      </c>
      <c r="E620" s="37">
        <v>4.0300000000000002E-2</v>
      </c>
      <c r="F620" s="31">
        <v>17.499000000000002</v>
      </c>
      <c r="G620" s="34">
        <f t="shared" si="11"/>
        <v>0.70520970000000016</v>
      </c>
      <c r="H620" s="39">
        <f>SUM(G620:G622)</f>
        <v>12.4571068</v>
      </c>
      <c r="I620" s="40"/>
      <c r="J620" s="156">
        <v>0</v>
      </c>
    </row>
    <row r="621" spans="1:10" ht="15.75" hidden="1" thickBot="1" x14ac:dyDescent="0.3">
      <c r="A621" s="222"/>
      <c r="B621" s="225"/>
      <c r="C621" s="36" t="s">
        <v>760</v>
      </c>
      <c r="D621" s="47" t="s">
        <v>759</v>
      </c>
      <c r="E621" s="37">
        <v>0.15140000000000001</v>
      </c>
      <c r="F621" s="34">
        <v>16.311500000000002</v>
      </c>
      <c r="G621" s="34">
        <f t="shared" si="11"/>
        <v>2.4695611000000004</v>
      </c>
      <c r="H621" s="35"/>
      <c r="I621" s="31"/>
      <c r="J621" s="156">
        <v>0</v>
      </c>
    </row>
    <row r="622" spans="1:10" ht="15.75" hidden="1" thickBot="1" x14ac:dyDescent="0.3">
      <c r="A622" s="222"/>
      <c r="B622" s="225"/>
      <c r="C622" s="36" t="s">
        <v>1291</v>
      </c>
      <c r="D622" s="47" t="s">
        <v>759</v>
      </c>
      <c r="E622" s="37">
        <v>0.36349999999999999</v>
      </c>
      <c r="F622" s="34">
        <v>25.535999999999998</v>
      </c>
      <c r="G622" s="34">
        <f t="shared" si="11"/>
        <v>9.282335999999999</v>
      </c>
      <c r="H622" s="35"/>
      <c r="I622" s="31"/>
      <c r="J622" s="156">
        <v>0</v>
      </c>
    </row>
    <row r="623" spans="1:10" ht="15.75" hidden="1" thickBot="1" x14ac:dyDescent="0.3">
      <c r="A623" s="222"/>
      <c r="B623" s="225"/>
      <c r="C623" s="36"/>
      <c r="D623" s="36"/>
      <c r="E623" s="37"/>
      <c r="F623" s="31" t="s">
        <v>572</v>
      </c>
      <c r="G623" s="31" t="str">
        <f t="shared" si="11"/>
        <v/>
      </c>
      <c r="H623" s="35"/>
      <c r="I623" s="31"/>
      <c r="J623" s="156">
        <v>0</v>
      </c>
    </row>
    <row r="624" spans="1:10" ht="15.75" hidden="1" thickBot="1" x14ac:dyDescent="0.3">
      <c r="A624" s="221" t="s">
        <v>244</v>
      </c>
      <c r="B624" s="224" t="str">
        <f>INDEX(Orçamentária!A:B,MATCH(Composições!A624,Orçamentária!A:A,0),2)</f>
        <v>Mármore Bege Bahia para piso e parede</v>
      </c>
      <c r="C624" s="41"/>
      <c r="D624" s="26" t="str">
        <f>TRIM(INDEX(Orçamentária!C:C,MATCH(Composições!A624,Orçamentária!A:A,0),1))</f>
        <v>m2</v>
      </c>
      <c r="E624" s="27"/>
      <c r="F624" s="42" t="s">
        <v>572</v>
      </c>
      <c r="G624" s="28" t="str">
        <f t="shared" si="11"/>
        <v/>
      </c>
      <c r="H624" s="29"/>
      <c r="I624" s="30"/>
      <c r="J624" s="156">
        <v>0</v>
      </c>
    </row>
    <row r="625" spans="1:10" ht="15.75" hidden="1" thickBot="1" x14ac:dyDescent="0.3">
      <c r="A625" s="222"/>
      <c r="B625" s="225"/>
      <c r="C625" s="32"/>
      <c r="D625" s="32"/>
      <c r="E625" s="33"/>
      <c r="F625" s="43" t="s">
        <v>572</v>
      </c>
      <c r="G625" s="31" t="str">
        <f t="shared" si="11"/>
        <v/>
      </c>
      <c r="H625" s="35"/>
      <c r="I625" s="31"/>
      <c r="J625" s="156">
        <v>0</v>
      </c>
    </row>
    <row r="626" spans="1:10" ht="15.75" hidden="1" thickBot="1" x14ac:dyDescent="0.3">
      <c r="A626" s="222"/>
      <c r="B626" s="225"/>
      <c r="C626" s="36" t="s">
        <v>3623</v>
      </c>
      <c r="D626" s="36" t="s">
        <v>42</v>
      </c>
      <c r="E626" s="37">
        <v>8.6199999999999992</v>
      </c>
      <c r="F626" s="34">
        <v>1.3109999999999999</v>
      </c>
      <c r="G626" s="34">
        <f t="shared" si="11"/>
        <v>11.300819999999998</v>
      </c>
      <c r="H626" s="39">
        <f>SUM(G626:G630)</f>
        <v>43.224525</v>
      </c>
      <c r="I626" s="40"/>
      <c r="J626" s="156">
        <v>0</v>
      </c>
    </row>
    <row r="627" spans="1:10" ht="15.75" hidden="1" thickBot="1" x14ac:dyDescent="0.3">
      <c r="A627" s="222"/>
      <c r="B627" s="225"/>
      <c r="C627" s="36" t="s">
        <v>54</v>
      </c>
      <c r="D627" s="36" t="s">
        <v>12</v>
      </c>
      <c r="E627" s="37">
        <v>1.1879999999999999</v>
      </c>
      <c r="F627" s="31">
        <v>18.420500000000001</v>
      </c>
      <c r="G627" s="34">
        <f t="shared" si="11"/>
        <v>21.883554</v>
      </c>
      <c r="H627" s="35"/>
      <c r="I627" s="31"/>
      <c r="J627" s="156">
        <v>0</v>
      </c>
    </row>
    <row r="628" spans="1:10" ht="15.75" hidden="1" thickBot="1" x14ac:dyDescent="0.3">
      <c r="A628" s="222"/>
      <c r="B628" s="225"/>
      <c r="C628" s="36" t="s">
        <v>23</v>
      </c>
      <c r="D628" s="36" t="s">
        <v>12</v>
      </c>
      <c r="E628" s="37">
        <v>0.59399999999999997</v>
      </c>
      <c r="F628" s="31">
        <v>16.311500000000002</v>
      </c>
      <c r="G628" s="34">
        <f t="shared" si="11"/>
        <v>9.6890310000000017</v>
      </c>
      <c r="H628" s="35"/>
      <c r="I628" s="31"/>
      <c r="J628" s="156">
        <v>0</v>
      </c>
    </row>
    <row r="629" spans="1:10" ht="15.75" hidden="1" thickBot="1" x14ac:dyDescent="0.3">
      <c r="A629" s="222"/>
      <c r="B629" s="225"/>
      <c r="C629" s="36" t="s">
        <v>3622</v>
      </c>
      <c r="D629" s="36" t="s">
        <v>42</v>
      </c>
      <c r="E629" s="37">
        <v>0.14000000000000001</v>
      </c>
      <c r="F629" s="34">
        <v>2.508</v>
      </c>
      <c r="G629" s="34">
        <f t="shared" si="11"/>
        <v>0.35112000000000004</v>
      </c>
      <c r="H629" s="35"/>
      <c r="I629" s="31"/>
      <c r="J629" s="156">
        <v>0</v>
      </c>
    </row>
    <row r="630" spans="1:10" ht="15.75" hidden="1" thickBot="1" x14ac:dyDescent="0.3">
      <c r="A630" s="222"/>
      <c r="B630" s="225"/>
      <c r="C630" s="36" t="s">
        <v>245</v>
      </c>
      <c r="D630" s="36" t="s">
        <v>96</v>
      </c>
      <c r="E630" s="37">
        <v>1.1599999999999999</v>
      </c>
      <c r="F630" s="34" t="s">
        <v>572</v>
      </c>
      <c r="G630" s="54" t="str">
        <f t="shared" si="11"/>
        <v/>
      </c>
      <c r="H630" s="35"/>
      <c r="I630" s="31"/>
      <c r="J630" s="156">
        <v>0</v>
      </c>
    </row>
    <row r="631" spans="1:10" ht="15.75" hidden="1" thickBot="1" x14ac:dyDescent="0.3">
      <c r="A631" s="223"/>
      <c r="B631" s="226"/>
      <c r="C631" s="36"/>
      <c r="D631" s="36"/>
      <c r="E631" s="37"/>
      <c r="F631" s="31" t="s">
        <v>572</v>
      </c>
      <c r="G631" s="31" t="str">
        <f t="shared" si="11"/>
        <v/>
      </c>
      <c r="H631" s="35"/>
      <c r="I631" s="31"/>
      <c r="J631" s="156">
        <v>0</v>
      </c>
    </row>
    <row r="632" spans="1:10" ht="15.75" hidden="1" thickBot="1" x14ac:dyDescent="0.3">
      <c r="A632" s="221" t="s">
        <v>246</v>
      </c>
      <c r="B632" s="224" t="str">
        <f>INDEX(Orçamentária!A:B,MATCH(Composições!A632,Orçamentária!A:A,0),2)</f>
        <v>Mármore Branco Especial para piso e parede</v>
      </c>
      <c r="C632" s="41"/>
      <c r="D632" s="26" t="str">
        <f>TRIM(INDEX(Orçamentária!C:C,MATCH(Composições!A632,Orçamentária!A:A,0),1))</f>
        <v>m2</v>
      </c>
      <c r="E632" s="27"/>
      <c r="F632" s="42" t="s">
        <v>572</v>
      </c>
      <c r="G632" s="28" t="str">
        <f t="shared" si="11"/>
        <v/>
      </c>
      <c r="H632" s="29"/>
      <c r="I632" s="30"/>
      <c r="J632" s="156">
        <v>0</v>
      </c>
    </row>
    <row r="633" spans="1:10" ht="15.75" hidden="1" thickBot="1" x14ac:dyDescent="0.3">
      <c r="A633" s="222"/>
      <c r="B633" s="225"/>
      <c r="C633" s="32"/>
      <c r="D633" s="32"/>
      <c r="E633" s="33"/>
      <c r="F633" s="43" t="s">
        <v>572</v>
      </c>
      <c r="G633" s="31" t="str">
        <f t="shared" si="11"/>
        <v/>
      </c>
      <c r="H633" s="35"/>
      <c r="I633" s="31"/>
      <c r="J633" s="156">
        <v>0</v>
      </c>
    </row>
    <row r="634" spans="1:10" ht="15.75" hidden="1" thickBot="1" x14ac:dyDescent="0.3">
      <c r="A634" s="222"/>
      <c r="B634" s="225"/>
      <c r="C634" s="36" t="s">
        <v>3623</v>
      </c>
      <c r="D634" s="36" t="s">
        <v>42</v>
      </c>
      <c r="E634" s="37">
        <v>8.6199999999999992</v>
      </c>
      <c r="F634" s="34">
        <v>1.3109999999999999</v>
      </c>
      <c r="G634" s="34">
        <f t="shared" si="11"/>
        <v>11.300819999999998</v>
      </c>
      <c r="H634" s="39">
        <f>SUM(G634:G638)</f>
        <v>43.224525</v>
      </c>
      <c r="I634" s="40"/>
      <c r="J634" s="156">
        <v>0</v>
      </c>
    </row>
    <row r="635" spans="1:10" ht="15.75" hidden="1" thickBot="1" x14ac:dyDescent="0.3">
      <c r="A635" s="222"/>
      <c r="B635" s="225"/>
      <c r="C635" s="36" t="s">
        <v>54</v>
      </c>
      <c r="D635" s="36" t="s">
        <v>12</v>
      </c>
      <c r="E635" s="37">
        <v>1.1879999999999999</v>
      </c>
      <c r="F635" s="31">
        <v>18.420500000000001</v>
      </c>
      <c r="G635" s="34">
        <f t="shared" si="11"/>
        <v>21.883554</v>
      </c>
      <c r="H635" s="35"/>
      <c r="I635" s="31"/>
      <c r="J635" s="156">
        <v>0</v>
      </c>
    </row>
    <row r="636" spans="1:10" ht="15.75" hidden="1" thickBot="1" x14ac:dyDescent="0.3">
      <c r="A636" s="222"/>
      <c r="B636" s="225"/>
      <c r="C636" s="36" t="s">
        <v>23</v>
      </c>
      <c r="D636" s="36" t="s">
        <v>12</v>
      </c>
      <c r="E636" s="37">
        <v>0.59399999999999997</v>
      </c>
      <c r="F636" s="31">
        <v>16.311500000000002</v>
      </c>
      <c r="G636" s="34">
        <f t="shared" si="11"/>
        <v>9.6890310000000017</v>
      </c>
      <c r="H636" s="35"/>
      <c r="I636" s="31"/>
      <c r="J636" s="156">
        <v>0</v>
      </c>
    </row>
    <row r="637" spans="1:10" ht="15.75" hidden="1" thickBot="1" x14ac:dyDescent="0.3">
      <c r="A637" s="222"/>
      <c r="B637" s="225"/>
      <c r="C637" s="36" t="s">
        <v>3622</v>
      </c>
      <c r="D637" s="36" t="s">
        <v>42</v>
      </c>
      <c r="E637" s="37">
        <v>0.14000000000000001</v>
      </c>
      <c r="F637" s="34">
        <v>2.508</v>
      </c>
      <c r="G637" s="34">
        <f t="shared" si="11"/>
        <v>0.35112000000000004</v>
      </c>
      <c r="H637" s="35"/>
      <c r="I637" s="31"/>
      <c r="J637" s="156">
        <v>0</v>
      </c>
    </row>
    <row r="638" spans="1:10" ht="15.75" hidden="1" thickBot="1" x14ac:dyDescent="0.3">
      <c r="A638" s="222"/>
      <c r="B638" s="225"/>
      <c r="C638" s="36" t="s">
        <v>247</v>
      </c>
      <c r="D638" s="36" t="s">
        <v>96</v>
      </c>
      <c r="E638" s="37">
        <v>1.1599999999999999</v>
      </c>
      <c r="F638" s="34" t="s">
        <v>572</v>
      </c>
      <c r="G638" s="54" t="str">
        <f t="shared" si="11"/>
        <v/>
      </c>
      <c r="H638" s="35"/>
      <c r="I638" s="31"/>
      <c r="J638" s="156">
        <v>0</v>
      </c>
    </row>
    <row r="639" spans="1:10" ht="15.75" hidden="1" thickBot="1" x14ac:dyDescent="0.3">
      <c r="A639" s="223"/>
      <c r="B639" s="226"/>
      <c r="C639" s="36"/>
      <c r="D639" s="36"/>
      <c r="E639" s="37"/>
      <c r="F639" s="31" t="s">
        <v>572</v>
      </c>
      <c r="G639" s="31" t="str">
        <f t="shared" si="11"/>
        <v/>
      </c>
      <c r="H639" s="35"/>
      <c r="I639" s="31"/>
      <c r="J639" s="156">
        <v>0</v>
      </c>
    </row>
    <row r="640" spans="1:10" ht="15.75" hidden="1" thickBot="1" x14ac:dyDescent="0.3">
      <c r="A640" s="221" t="s">
        <v>248</v>
      </c>
      <c r="B640" s="224" t="str">
        <f>INDEX(Orçamentária!A:B,MATCH(Composições!A640,Orçamentária!A:A,0),2)</f>
        <v>Rodapé de madeira</v>
      </c>
      <c r="C640" s="41"/>
      <c r="D640" s="26" t="str">
        <f>TRIM(INDEX(Orçamentária!C:C,MATCH(Composições!A640,Orçamentária!A:A,0),1))</f>
        <v>m</v>
      </c>
      <c r="E640" s="27"/>
      <c r="F640" s="42" t="s">
        <v>572</v>
      </c>
      <c r="G640" s="28" t="str">
        <f t="shared" si="11"/>
        <v/>
      </c>
      <c r="H640" s="29"/>
      <c r="I640" s="30"/>
      <c r="J640" s="156">
        <v>0</v>
      </c>
    </row>
    <row r="641" spans="1:10" ht="15.75" hidden="1" thickBot="1" x14ac:dyDescent="0.3">
      <c r="A641" s="222"/>
      <c r="B641" s="225"/>
      <c r="C641" s="32"/>
      <c r="D641" s="32"/>
      <c r="E641" s="33"/>
      <c r="F641" s="43" t="s">
        <v>572</v>
      </c>
      <c r="G641" s="31" t="str">
        <f t="shared" si="11"/>
        <v/>
      </c>
      <c r="H641" s="35"/>
      <c r="I641" s="31"/>
      <c r="J641" s="156">
        <v>0</v>
      </c>
    </row>
    <row r="642" spans="1:10" ht="26.25" hidden="1" thickBot="1" x14ac:dyDescent="0.3">
      <c r="A642" s="222"/>
      <c r="B642" s="225"/>
      <c r="C642" s="36" t="s">
        <v>3473</v>
      </c>
      <c r="D642" s="47" t="s">
        <v>527</v>
      </c>
      <c r="E642" s="37">
        <v>1.0349999999999999</v>
      </c>
      <c r="F642" s="31">
        <v>11.837</v>
      </c>
      <c r="G642" s="34">
        <f t="shared" si="11"/>
        <v>12.251294999999999</v>
      </c>
      <c r="H642" s="39">
        <f>SUM(G642:G645)</f>
        <v>24.708401799999997</v>
      </c>
      <c r="I642" s="40"/>
      <c r="J642" s="156">
        <v>0</v>
      </c>
    </row>
    <row r="643" spans="1:10" ht="15.75" hidden="1" thickBot="1" x14ac:dyDescent="0.3">
      <c r="A643" s="222"/>
      <c r="B643" s="225"/>
      <c r="C643" s="36" t="s">
        <v>1313</v>
      </c>
      <c r="D643" s="47" t="s">
        <v>105</v>
      </c>
      <c r="E643" s="37">
        <v>4.0300000000000002E-2</v>
      </c>
      <c r="F643" s="31">
        <v>17.499000000000002</v>
      </c>
      <c r="G643" s="34">
        <f t="shared" si="11"/>
        <v>0.70520970000000016</v>
      </c>
      <c r="H643" s="35"/>
      <c r="I643" s="31"/>
      <c r="J643" s="156">
        <v>0</v>
      </c>
    </row>
    <row r="644" spans="1:10" ht="15.75" hidden="1" thickBot="1" x14ac:dyDescent="0.3">
      <c r="A644" s="222"/>
      <c r="B644" s="225"/>
      <c r="C644" s="36" t="s">
        <v>760</v>
      </c>
      <c r="D644" s="47" t="s">
        <v>759</v>
      </c>
      <c r="E644" s="37">
        <v>0.15140000000000001</v>
      </c>
      <c r="F644" s="34">
        <v>16.311500000000002</v>
      </c>
      <c r="G644" s="34">
        <f t="shared" si="11"/>
        <v>2.4695611000000004</v>
      </c>
      <c r="H644" s="35"/>
      <c r="I644" s="31"/>
      <c r="J644" s="156">
        <v>0</v>
      </c>
    </row>
    <row r="645" spans="1:10" ht="15.75" hidden="1" thickBot="1" x14ac:dyDescent="0.3">
      <c r="A645" s="222"/>
      <c r="B645" s="225"/>
      <c r="C645" s="36" t="s">
        <v>1291</v>
      </c>
      <c r="D645" s="47" t="s">
        <v>759</v>
      </c>
      <c r="E645" s="37">
        <v>0.36349999999999999</v>
      </c>
      <c r="F645" s="34">
        <v>25.535999999999998</v>
      </c>
      <c r="G645" s="34">
        <f t="shared" si="11"/>
        <v>9.282335999999999</v>
      </c>
      <c r="H645" s="35"/>
      <c r="I645" s="31"/>
      <c r="J645" s="156">
        <v>0</v>
      </c>
    </row>
    <row r="646" spans="1:10" ht="15.75" hidden="1" thickBot="1" x14ac:dyDescent="0.3">
      <c r="A646" s="223"/>
      <c r="B646" s="226"/>
      <c r="C646" s="36"/>
      <c r="D646" s="36"/>
      <c r="E646" s="37"/>
      <c r="F646" s="31" t="s">
        <v>572</v>
      </c>
      <c r="G646" s="31" t="str">
        <f t="shared" si="11"/>
        <v/>
      </c>
      <c r="H646" s="35"/>
      <c r="I646" s="31"/>
      <c r="J646" s="156">
        <v>0</v>
      </c>
    </row>
    <row r="647" spans="1:10" ht="15.75" hidden="1" thickBot="1" x14ac:dyDescent="0.3">
      <c r="A647" s="221" t="s">
        <v>250</v>
      </c>
      <c r="B647" s="224" t="str">
        <f>INDEX(Orçamentária!A:B,MATCH(Composições!A647,Orçamentária!A:A,0),2)</f>
        <v>Acabamento abaulado em placas de granito ou mármore reaproveitadas</v>
      </c>
      <c r="C647" s="41"/>
      <c r="D647" s="26" t="str">
        <f>TRIM(INDEX(Orçamentária!C:C,MATCH(Composições!A647,Orçamentária!A:A,0),1))</f>
        <v>m</v>
      </c>
      <c r="E647" s="27"/>
      <c r="F647" s="42" t="s">
        <v>572</v>
      </c>
      <c r="G647" s="28" t="str">
        <f t="shared" si="11"/>
        <v/>
      </c>
      <c r="H647" s="29"/>
      <c r="I647" s="30"/>
      <c r="J647" s="156">
        <v>0</v>
      </c>
    </row>
    <row r="648" spans="1:10" ht="15.75" hidden="1" thickBot="1" x14ac:dyDescent="0.3">
      <c r="A648" s="222"/>
      <c r="B648" s="225"/>
      <c r="C648" s="32"/>
      <c r="D648" s="32"/>
      <c r="E648" s="33"/>
      <c r="F648" s="43" t="s">
        <v>572</v>
      </c>
      <c r="G648" s="31" t="str">
        <f t="shared" si="11"/>
        <v/>
      </c>
      <c r="H648" s="35"/>
      <c r="I648" s="31"/>
      <c r="J648" s="156">
        <v>0</v>
      </c>
    </row>
    <row r="649" spans="1:10" ht="15.75" hidden="1" thickBot="1" x14ac:dyDescent="0.3">
      <c r="A649" s="222"/>
      <c r="B649" s="225"/>
      <c r="C649" s="36" t="s">
        <v>54</v>
      </c>
      <c r="D649" s="47" t="s">
        <v>12</v>
      </c>
      <c r="E649" s="37">
        <v>2</v>
      </c>
      <c r="F649" s="31">
        <v>18.420500000000001</v>
      </c>
      <c r="G649" s="34">
        <f t="shared" si="11"/>
        <v>36.841000000000001</v>
      </c>
      <c r="H649" s="39">
        <f>SUM(G649:G649)</f>
        <v>36.841000000000001</v>
      </c>
      <c r="I649" s="40"/>
      <c r="J649" s="156">
        <v>0</v>
      </c>
    </row>
    <row r="650" spans="1:10" ht="15.75" hidden="1" thickBot="1" x14ac:dyDescent="0.3">
      <c r="A650" s="223"/>
      <c r="B650" s="226"/>
      <c r="C650" s="55"/>
      <c r="D650" s="36"/>
      <c r="E650" s="37"/>
      <c r="F650" s="31" t="s">
        <v>572</v>
      </c>
      <c r="G650" s="31" t="str">
        <f t="shared" si="11"/>
        <v/>
      </c>
      <c r="H650" s="35"/>
      <c r="I650" s="31"/>
      <c r="J650" s="156">
        <v>0</v>
      </c>
    </row>
    <row r="651" spans="1:10" ht="15.75" hidden="1" thickBot="1" x14ac:dyDescent="0.3">
      <c r="A651" s="221" t="s">
        <v>251</v>
      </c>
      <c r="B651" s="224" t="str">
        <f>INDEX(Orçamentária!A:B,MATCH(Composições!A651,Orçamentária!A:A,0),2)</f>
        <v>Acabamento em meia esquadria em placas de granito ou mármore reaproveitadas</v>
      </c>
      <c r="C651" s="41"/>
      <c r="D651" s="26" t="str">
        <f>TRIM(INDEX(Orçamentária!C:C,MATCH(Composições!A651,Orçamentária!A:A,0),1))</f>
        <v>m</v>
      </c>
      <c r="E651" s="27"/>
      <c r="F651" s="42" t="s">
        <v>572</v>
      </c>
      <c r="G651" s="28" t="str">
        <f t="shared" si="11"/>
        <v/>
      </c>
      <c r="H651" s="29"/>
      <c r="I651" s="30"/>
      <c r="J651" s="156">
        <v>0</v>
      </c>
    </row>
    <row r="652" spans="1:10" ht="15.75" hidden="1" thickBot="1" x14ac:dyDescent="0.3">
      <c r="A652" s="222"/>
      <c r="B652" s="225"/>
      <c r="C652" s="32"/>
      <c r="D652" s="32"/>
      <c r="E652" s="33"/>
      <c r="F652" s="43" t="s">
        <v>572</v>
      </c>
      <c r="G652" s="31" t="str">
        <f t="shared" si="11"/>
        <v/>
      </c>
      <c r="H652" s="35"/>
      <c r="I652" s="31"/>
      <c r="J652" s="156">
        <v>0</v>
      </c>
    </row>
    <row r="653" spans="1:10" ht="15.75" hidden="1" thickBot="1" x14ac:dyDescent="0.3">
      <c r="A653" s="222"/>
      <c r="B653" s="225"/>
      <c r="C653" s="36" t="s">
        <v>54</v>
      </c>
      <c r="D653" s="47" t="s">
        <v>12</v>
      </c>
      <c r="E653" s="37">
        <v>1.75</v>
      </c>
      <c r="F653" s="31">
        <v>18.420500000000001</v>
      </c>
      <c r="G653" s="34">
        <f t="shared" si="11"/>
        <v>32.235875</v>
      </c>
      <c r="H653" s="39">
        <f>SUM(G653:G653)</f>
        <v>32.235875</v>
      </c>
      <c r="I653" s="40"/>
      <c r="J653" s="156">
        <v>0</v>
      </c>
    </row>
    <row r="654" spans="1:10" ht="15.75" hidden="1" thickBot="1" x14ac:dyDescent="0.3">
      <c r="A654" s="223"/>
      <c r="B654" s="226"/>
      <c r="C654" s="55"/>
      <c r="D654" s="36"/>
      <c r="E654" s="37"/>
      <c r="F654" s="31" t="s">
        <v>572</v>
      </c>
      <c r="G654" s="31" t="str">
        <f t="shared" si="11"/>
        <v/>
      </c>
      <c r="H654" s="35"/>
      <c r="I654" s="31"/>
      <c r="J654" s="156">
        <v>0</v>
      </c>
    </row>
    <row r="655" spans="1:10" ht="15.75" hidden="1" thickBot="1" x14ac:dyDescent="0.3">
      <c r="A655" s="221" t="s">
        <v>252</v>
      </c>
      <c r="B655" s="224" t="str">
        <f>INDEX(Orçamentária!A:B,MATCH(Composições!A655,Orçamentária!A:A,0),2)</f>
        <v>Acabamento reto em placas de granito ou mármore reaproveitadas</v>
      </c>
      <c r="C655" s="41"/>
      <c r="D655" s="26" t="str">
        <f>TRIM(INDEX(Orçamentária!C:C,MATCH(Composições!A655,Orçamentária!A:A,0),1))</f>
        <v>m</v>
      </c>
      <c r="E655" s="27"/>
      <c r="F655" s="42" t="s">
        <v>572</v>
      </c>
      <c r="G655" s="28" t="str">
        <f t="shared" si="11"/>
        <v/>
      </c>
      <c r="H655" s="29"/>
      <c r="I655" s="30"/>
      <c r="J655" s="156">
        <v>0</v>
      </c>
    </row>
    <row r="656" spans="1:10" ht="15.75" hidden="1" thickBot="1" x14ac:dyDescent="0.3">
      <c r="A656" s="222"/>
      <c r="B656" s="225"/>
      <c r="C656" s="32"/>
      <c r="D656" s="32"/>
      <c r="E656" s="33"/>
      <c r="F656" s="43" t="s">
        <v>572</v>
      </c>
      <c r="G656" s="31" t="str">
        <f t="shared" si="11"/>
        <v/>
      </c>
      <c r="H656" s="35"/>
      <c r="I656" s="31"/>
      <c r="J656" s="156">
        <v>0</v>
      </c>
    </row>
    <row r="657" spans="1:10" ht="15.75" hidden="1" thickBot="1" x14ac:dyDescent="0.3">
      <c r="A657" s="222"/>
      <c r="B657" s="225"/>
      <c r="C657" s="36" t="s">
        <v>54</v>
      </c>
      <c r="D657" s="47" t="s">
        <v>12</v>
      </c>
      <c r="E657" s="37">
        <v>1</v>
      </c>
      <c r="F657" s="31">
        <v>18.420500000000001</v>
      </c>
      <c r="G657" s="34">
        <f t="shared" si="11"/>
        <v>18.420500000000001</v>
      </c>
      <c r="H657" s="39">
        <f>SUM(G657:G657)</f>
        <v>18.420500000000001</v>
      </c>
      <c r="I657" s="40"/>
      <c r="J657" s="156">
        <v>0</v>
      </c>
    </row>
    <row r="658" spans="1:10" ht="15.75" hidden="1" thickBot="1" x14ac:dyDescent="0.3">
      <c r="A658" s="223"/>
      <c r="B658" s="226"/>
      <c r="C658" s="55"/>
      <c r="D658" s="36"/>
      <c r="E658" s="37"/>
      <c r="F658" s="31" t="s">
        <v>572</v>
      </c>
      <c r="G658" s="31" t="str">
        <f t="shared" si="11"/>
        <v/>
      </c>
      <c r="H658" s="35"/>
      <c r="I658" s="31"/>
      <c r="J658" s="156">
        <v>0</v>
      </c>
    </row>
    <row r="659" spans="1:10" ht="15.75" hidden="1" thickBot="1" x14ac:dyDescent="0.3">
      <c r="A659" s="221" t="s">
        <v>253</v>
      </c>
      <c r="B659" s="224" t="str">
        <f>INDEX(Orçamentária!A:B,MATCH(Composições!A659,Orçamentária!A:A,0),2)</f>
        <v>Corte de peça de granito ou mármore reaproveitada</v>
      </c>
      <c r="C659" s="41"/>
      <c r="D659" s="26" t="str">
        <f>TRIM(INDEX(Orçamentária!C:C,MATCH(Composições!A659,Orçamentária!A:A,0),1))</f>
        <v>m</v>
      </c>
      <c r="E659" s="27"/>
      <c r="F659" s="42" t="s">
        <v>572</v>
      </c>
      <c r="G659" s="28" t="str">
        <f t="shared" si="11"/>
        <v/>
      </c>
      <c r="H659" s="29"/>
      <c r="I659" s="30"/>
      <c r="J659" s="156">
        <v>0</v>
      </c>
    </row>
    <row r="660" spans="1:10" ht="15.75" hidden="1" thickBot="1" x14ac:dyDescent="0.3">
      <c r="A660" s="222"/>
      <c r="B660" s="225"/>
      <c r="C660" s="32"/>
      <c r="D660" s="32"/>
      <c r="E660" s="33"/>
      <c r="F660" s="43" t="s">
        <v>572</v>
      </c>
      <c r="G660" s="31" t="str">
        <f t="shared" si="11"/>
        <v/>
      </c>
      <c r="H660" s="35"/>
      <c r="I660" s="31"/>
      <c r="J660" s="156">
        <v>0</v>
      </c>
    </row>
    <row r="661" spans="1:10" ht="15.75" hidden="1" thickBot="1" x14ac:dyDescent="0.3">
      <c r="A661" s="222"/>
      <c r="B661" s="225"/>
      <c r="C661" s="36" t="s">
        <v>54</v>
      </c>
      <c r="D661" s="47" t="s">
        <v>12</v>
      </c>
      <c r="E661" s="37">
        <v>1.25</v>
      </c>
      <c r="F661" s="31">
        <v>18.420500000000001</v>
      </c>
      <c r="G661" s="34">
        <f t="shared" ref="G661:G724" si="12">IF(ISNUMBER(F661),E661*F661,"")</f>
        <v>23.025625000000002</v>
      </c>
      <c r="H661" s="39">
        <f>SUM(G661:G661)</f>
        <v>23.025625000000002</v>
      </c>
      <c r="I661" s="40"/>
      <c r="J661" s="156">
        <v>0</v>
      </c>
    </row>
    <row r="662" spans="1:10" ht="15.75" hidden="1" thickBot="1" x14ac:dyDescent="0.3">
      <c r="A662" s="223"/>
      <c r="B662" s="226"/>
      <c r="C662" s="55"/>
      <c r="D662" s="36"/>
      <c r="E662" s="37"/>
      <c r="F662" s="31" t="s">
        <v>572</v>
      </c>
      <c r="G662" s="31" t="str">
        <f t="shared" si="12"/>
        <v/>
      </c>
      <c r="H662" s="35"/>
      <c r="I662" s="31"/>
      <c r="J662" s="156">
        <v>0</v>
      </c>
    </row>
    <row r="663" spans="1:10" ht="15.75" hidden="1" thickBot="1" x14ac:dyDescent="0.3">
      <c r="A663" s="221" t="s">
        <v>254</v>
      </c>
      <c r="B663" s="224" t="str">
        <f>INDEX(Orçamentária!A:B,MATCH(Composições!A663,Orçamentária!A:A,0),2)</f>
        <v>Corte em placas de granito ou mármore reaproveitadas, para instalação de cubas</v>
      </c>
      <c r="C663" s="41"/>
      <c r="D663" s="26" t="str">
        <f>TRIM(INDEX(Orçamentária!C:C,MATCH(Composições!A663,Orçamentária!A:A,0),1))</f>
        <v>un</v>
      </c>
      <c r="E663" s="27"/>
      <c r="F663" s="42" t="s">
        <v>572</v>
      </c>
      <c r="G663" s="28" t="str">
        <f t="shared" si="12"/>
        <v/>
      </c>
      <c r="H663" s="29"/>
      <c r="I663" s="30"/>
      <c r="J663" s="156">
        <v>0</v>
      </c>
    </row>
    <row r="664" spans="1:10" ht="15.75" hidden="1" thickBot="1" x14ac:dyDescent="0.3">
      <c r="A664" s="222"/>
      <c r="B664" s="225"/>
      <c r="C664" s="32"/>
      <c r="D664" s="32"/>
      <c r="E664" s="33"/>
      <c r="F664" s="43" t="s">
        <v>572</v>
      </c>
      <c r="G664" s="31" t="str">
        <f t="shared" si="12"/>
        <v/>
      </c>
      <c r="H664" s="35"/>
      <c r="I664" s="31"/>
      <c r="J664" s="156">
        <v>0</v>
      </c>
    </row>
    <row r="665" spans="1:10" ht="26.25" hidden="1" thickBot="1" x14ac:dyDescent="0.3">
      <c r="A665" s="222"/>
      <c r="B665" s="225"/>
      <c r="C665" s="36" t="s">
        <v>255</v>
      </c>
      <c r="D665" s="47" t="s">
        <v>20</v>
      </c>
      <c r="E665" s="37">
        <v>1</v>
      </c>
      <c r="F665" s="31">
        <v>90.781999999999996</v>
      </c>
      <c r="G665" s="34">
        <f t="shared" si="12"/>
        <v>90.781999999999996</v>
      </c>
      <c r="H665" s="39">
        <f>SUM(G665:G665)</f>
        <v>90.781999999999996</v>
      </c>
      <c r="I665" s="40"/>
      <c r="J665" s="156">
        <v>0</v>
      </c>
    </row>
    <row r="666" spans="1:10" ht="15.75" hidden="1" thickBot="1" x14ac:dyDescent="0.3">
      <c r="A666" s="223"/>
      <c r="B666" s="226"/>
      <c r="C666" s="55"/>
      <c r="D666" s="36"/>
      <c r="E666" s="37"/>
      <c r="F666" s="31" t="s">
        <v>572</v>
      </c>
      <c r="G666" s="31" t="str">
        <f t="shared" si="12"/>
        <v/>
      </c>
      <c r="H666" s="35"/>
      <c r="I666" s="31"/>
      <c r="J666" s="156">
        <v>0</v>
      </c>
    </row>
    <row r="667" spans="1:10" ht="15.75" hidden="1" thickBot="1" x14ac:dyDescent="0.3">
      <c r="A667" s="221" t="s">
        <v>256</v>
      </c>
      <c r="B667" s="224" t="str">
        <f>INDEX(Orçamentária!A:B,MATCH(Composições!A667,Orçamentária!A:A,0),2)</f>
        <v>Furo em placas de granito ou mármore reaproveitadas, para instalação de torneira ou misturador</v>
      </c>
      <c r="C667" s="134"/>
      <c r="D667" s="26" t="str">
        <f>TRIM(INDEX(Orçamentária!C:C,MATCH(Composições!A667,Orçamentária!A:A,0),1))</f>
        <v>un</v>
      </c>
      <c r="E667" s="27"/>
      <c r="F667" s="42" t="s">
        <v>572</v>
      </c>
      <c r="G667" s="28" t="str">
        <f t="shared" si="12"/>
        <v/>
      </c>
      <c r="H667" s="29"/>
      <c r="I667" s="30"/>
      <c r="J667" s="156">
        <v>0</v>
      </c>
    </row>
    <row r="668" spans="1:10" ht="15.75" hidden="1" thickBot="1" x14ac:dyDescent="0.3">
      <c r="A668" s="222"/>
      <c r="B668" s="225"/>
      <c r="C668" s="32"/>
      <c r="D668" s="32"/>
      <c r="E668" s="33"/>
      <c r="F668" s="43" t="s">
        <v>572</v>
      </c>
      <c r="G668" s="31" t="str">
        <f t="shared" si="12"/>
        <v/>
      </c>
      <c r="H668" s="35"/>
      <c r="I668" s="31"/>
      <c r="J668" s="156">
        <v>0</v>
      </c>
    </row>
    <row r="669" spans="1:10" ht="27" hidden="1" thickBot="1" x14ac:dyDescent="0.3">
      <c r="A669" s="222"/>
      <c r="B669" s="225"/>
      <c r="C669" s="51" t="s">
        <v>257</v>
      </c>
      <c r="D669" s="47" t="s">
        <v>20</v>
      </c>
      <c r="E669" s="37">
        <v>1</v>
      </c>
      <c r="F669" s="31">
        <v>13.6135</v>
      </c>
      <c r="G669" s="34">
        <f t="shared" si="12"/>
        <v>13.6135</v>
      </c>
      <c r="H669" s="39">
        <f>SUM(G669:G669)</f>
        <v>13.6135</v>
      </c>
      <c r="I669" s="40"/>
      <c r="J669" s="156">
        <v>0</v>
      </c>
    </row>
    <row r="670" spans="1:10" ht="15.75" hidden="1" thickBot="1" x14ac:dyDescent="0.3">
      <c r="A670" s="223"/>
      <c r="B670" s="226"/>
      <c r="C670" s="36"/>
      <c r="D670" s="36"/>
      <c r="E670" s="37"/>
      <c r="F670" s="31" t="s">
        <v>572</v>
      </c>
      <c r="G670" s="31" t="str">
        <f t="shared" si="12"/>
        <v/>
      </c>
      <c r="H670" s="35"/>
      <c r="I670" s="31"/>
      <c r="J670" s="156">
        <v>0</v>
      </c>
    </row>
    <row r="671" spans="1:10" ht="15.75" hidden="1" thickBot="1" x14ac:dyDescent="0.3">
      <c r="A671" s="221" t="s">
        <v>258</v>
      </c>
      <c r="B671" s="224" t="str">
        <f>INDEX(Orçamentária!A:B,MATCH(Composições!A671,Orçamentária!A:A,0),2)</f>
        <v>Granito Cinza Andorinha 20mm para rodabancada</v>
      </c>
      <c r="C671" s="41"/>
      <c r="D671" s="26" t="str">
        <f>TRIM(INDEX(Orçamentária!C:C,MATCH(Composições!A671,Orçamentária!A:A,0),1))</f>
        <v>m2</v>
      </c>
      <c r="E671" s="27"/>
      <c r="F671" s="42" t="s">
        <v>572</v>
      </c>
      <c r="G671" s="28" t="str">
        <f t="shared" si="12"/>
        <v/>
      </c>
      <c r="H671" s="29"/>
      <c r="I671" s="30"/>
      <c r="J671" s="156">
        <v>0</v>
      </c>
    </row>
    <row r="672" spans="1:10" ht="15.75" hidden="1" thickBot="1" x14ac:dyDescent="0.3">
      <c r="A672" s="222"/>
      <c r="B672" s="225"/>
      <c r="C672" s="32"/>
      <c r="D672" s="32"/>
      <c r="E672" s="33"/>
      <c r="F672" s="43" t="s">
        <v>572</v>
      </c>
      <c r="G672" s="31" t="str">
        <f t="shared" si="12"/>
        <v/>
      </c>
      <c r="H672" s="35"/>
      <c r="I672" s="31"/>
      <c r="J672" s="156">
        <v>0</v>
      </c>
    </row>
    <row r="673" spans="1:10" ht="26.25" hidden="1" thickBot="1" x14ac:dyDescent="0.3">
      <c r="A673" s="222"/>
      <c r="B673" s="225"/>
      <c r="C673" s="36" t="s">
        <v>259</v>
      </c>
      <c r="D673" s="36" t="s">
        <v>94</v>
      </c>
      <c r="E673" s="37">
        <f>ROUND(1.04/0.15,4)</f>
        <v>6.9333</v>
      </c>
      <c r="F673" s="34" t="s">
        <v>572</v>
      </c>
      <c r="G673" s="34" t="str">
        <f t="shared" si="12"/>
        <v/>
      </c>
      <c r="H673" s="39">
        <f>SUM(G673:G677)</f>
        <v>62.564162350000004</v>
      </c>
      <c r="I673" s="40"/>
      <c r="J673" s="156">
        <v>0</v>
      </c>
    </row>
    <row r="674" spans="1:10" ht="15.75" hidden="1" thickBot="1" x14ac:dyDescent="0.3">
      <c r="A674" s="222"/>
      <c r="B674" s="225"/>
      <c r="C674" s="36" t="s">
        <v>3623</v>
      </c>
      <c r="D674" s="36" t="s">
        <v>42</v>
      </c>
      <c r="E674" s="37">
        <f>ROUND(0.8614/0.15,4)</f>
        <v>5.7427000000000001</v>
      </c>
      <c r="F674" s="34">
        <v>1.3109999999999999</v>
      </c>
      <c r="G674" s="34">
        <f t="shared" si="12"/>
        <v>7.5286796999999996</v>
      </c>
      <c r="H674" s="35"/>
      <c r="I674" s="31"/>
      <c r="J674" s="156">
        <v>0</v>
      </c>
    </row>
    <row r="675" spans="1:10" ht="15.75" hidden="1" thickBot="1" x14ac:dyDescent="0.3">
      <c r="A675" s="222"/>
      <c r="B675" s="225"/>
      <c r="C675" s="36" t="s">
        <v>54</v>
      </c>
      <c r="D675" s="36" t="s">
        <v>12</v>
      </c>
      <c r="E675" s="37">
        <f>ROUND(0.299/0.15,4)</f>
        <v>1.9933000000000001</v>
      </c>
      <c r="F675" s="31">
        <v>18.420500000000001</v>
      </c>
      <c r="G675" s="34">
        <f t="shared" si="12"/>
        <v>36.717582650000004</v>
      </c>
      <c r="H675" s="35"/>
      <c r="I675" s="31"/>
      <c r="J675" s="156">
        <v>0</v>
      </c>
    </row>
    <row r="676" spans="1:10" ht="15.75" hidden="1" thickBot="1" x14ac:dyDescent="0.3">
      <c r="A676" s="222"/>
      <c r="B676" s="225"/>
      <c r="C676" s="36" t="s">
        <v>23</v>
      </c>
      <c r="D676" s="36" t="s">
        <v>12</v>
      </c>
      <c r="E676" s="37">
        <f>0.15/0.15</f>
        <v>1</v>
      </c>
      <c r="F676" s="31">
        <v>16.311500000000002</v>
      </c>
      <c r="G676" s="34">
        <f t="shared" si="12"/>
        <v>16.311500000000002</v>
      </c>
      <c r="H676" s="35"/>
      <c r="I676" s="31"/>
      <c r="J676" s="156">
        <v>0</v>
      </c>
    </row>
    <row r="677" spans="1:10" ht="15.75" hidden="1" thickBot="1" x14ac:dyDescent="0.3">
      <c r="A677" s="222"/>
      <c r="B677" s="225"/>
      <c r="C677" s="36" t="s">
        <v>3622</v>
      </c>
      <c r="D677" s="36" t="s">
        <v>42</v>
      </c>
      <c r="E677" s="37">
        <f>0.12/0.15</f>
        <v>0.8</v>
      </c>
      <c r="F677" s="34">
        <v>2.508</v>
      </c>
      <c r="G677" s="34">
        <f t="shared" si="12"/>
        <v>2.0064000000000002</v>
      </c>
      <c r="H677" s="35"/>
      <c r="I677" s="31"/>
      <c r="J677" s="156">
        <v>0</v>
      </c>
    </row>
    <row r="678" spans="1:10" ht="15.75" hidden="1" thickBot="1" x14ac:dyDescent="0.3">
      <c r="A678" s="222"/>
      <c r="B678" s="225"/>
      <c r="C678" s="36"/>
      <c r="D678" s="36"/>
      <c r="E678" s="37"/>
      <c r="F678" s="34" t="s">
        <v>572</v>
      </c>
      <c r="G678" s="34" t="str">
        <f t="shared" si="12"/>
        <v/>
      </c>
      <c r="H678" s="35"/>
      <c r="I678" s="31"/>
      <c r="J678" s="156">
        <v>0</v>
      </c>
    </row>
    <row r="679" spans="1:10" ht="15.75" hidden="1" thickBot="1" x14ac:dyDescent="0.3">
      <c r="A679" s="221" t="s">
        <v>260</v>
      </c>
      <c r="B679" s="224" t="str">
        <f>INDEX(Orçamentária!A:B,MATCH(Composições!A679,Orçamentária!A:A,0),2)</f>
        <v>Granito Cinza Andorinha 20mm para bancadas</v>
      </c>
      <c r="C679" s="41"/>
      <c r="D679" s="26" t="str">
        <f>TRIM(INDEX(Orçamentária!C:C,MATCH(Composições!A679,Orçamentária!A:A,0),1))</f>
        <v>m2</v>
      </c>
      <c r="E679" s="27"/>
      <c r="F679" s="42" t="s">
        <v>572</v>
      </c>
      <c r="G679" s="28" t="str">
        <f t="shared" si="12"/>
        <v/>
      </c>
      <c r="H679" s="29"/>
      <c r="I679" s="30"/>
      <c r="J679" s="156">
        <v>0</v>
      </c>
    </row>
    <row r="680" spans="1:10" ht="15.75" hidden="1" thickBot="1" x14ac:dyDescent="0.3">
      <c r="A680" s="222"/>
      <c r="B680" s="225"/>
      <c r="C680" s="32"/>
      <c r="D680" s="32"/>
      <c r="E680" s="33"/>
      <c r="F680" s="43" t="s">
        <v>572</v>
      </c>
      <c r="G680" s="31" t="str">
        <f t="shared" si="12"/>
        <v/>
      </c>
      <c r="H680" s="35"/>
      <c r="I680" s="31"/>
      <c r="J680" s="156">
        <v>0</v>
      </c>
    </row>
    <row r="681" spans="1:10" ht="15.75" hidden="1" thickBot="1" x14ac:dyDescent="0.3">
      <c r="A681" s="222"/>
      <c r="B681" s="225"/>
      <c r="C681" s="36" t="s">
        <v>3466</v>
      </c>
      <c r="D681" s="36" t="s">
        <v>957</v>
      </c>
      <c r="E681" s="37">
        <f>ROUND(0.5228/(1.5*0.6),4)</f>
        <v>0.58089999999999997</v>
      </c>
      <c r="F681" s="54">
        <v>26.685499999999998</v>
      </c>
      <c r="G681" s="54">
        <f t="shared" si="12"/>
        <v>15.501606949999998</v>
      </c>
      <c r="H681" s="39">
        <f>SUM(G681:G687)</f>
        <v>116.27835554999999</v>
      </c>
      <c r="I681" s="40"/>
      <c r="J681" s="156">
        <v>0</v>
      </c>
    </row>
    <row r="682" spans="1:10" ht="39" hidden="1" thickBot="1" x14ac:dyDescent="0.3">
      <c r="A682" s="222"/>
      <c r="B682" s="225"/>
      <c r="C682" s="36" t="s">
        <v>1199</v>
      </c>
      <c r="D682" s="36" t="s">
        <v>299</v>
      </c>
      <c r="E682" s="37">
        <f>ROUND(6/(1.5*0.6),4)</f>
        <v>6.6666999999999996</v>
      </c>
      <c r="F682" s="54">
        <v>0.75049999999999994</v>
      </c>
      <c r="G682" s="54">
        <f t="shared" si="12"/>
        <v>5.0033583499999992</v>
      </c>
      <c r="H682" s="73"/>
      <c r="I682" s="74"/>
      <c r="J682" s="156">
        <v>0</v>
      </c>
    </row>
    <row r="683" spans="1:10" ht="26.25" hidden="1" thickBot="1" x14ac:dyDescent="0.3">
      <c r="A683" s="222"/>
      <c r="B683" s="225"/>
      <c r="C683" s="36" t="s">
        <v>261</v>
      </c>
      <c r="D683" s="36" t="s">
        <v>1053</v>
      </c>
      <c r="E683" s="37">
        <f>ROUND(1.005/(1.5*0.6),4)</f>
        <v>1.1167</v>
      </c>
      <c r="F683" s="54" t="s">
        <v>572</v>
      </c>
      <c r="G683" s="54" t="str">
        <f t="shared" si="12"/>
        <v/>
      </c>
      <c r="H683" s="73"/>
      <c r="I683" s="74"/>
      <c r="J683" s="156">
        <v>0</v>
      </c>
    </row>
    <row r="684" spans="1:10" ht="15.75" hidden="1" thickBot="1" x14ac:dyDescent="0.3">
      <c r="A684" s="222"/>
      <c r="B684" s="225"/>
      <c r="C684" s="36" t="s">
        <v>3610</v>
      </c>
      <c r="D684" s="36" t="s">
        <v>957</v>
      </c>
      <c r="E684" s="37">
        <f>ROUND(0.0211/(1.5*0.6),4)</f>
        <v>2.3400000000000001E-2</v>
      </c>
      <c r="F684" s="54">
        <v>52.8675</v>
      </c>
      <c r="G684" s="54">
        <f t="shared" si="12"/>
        <v>1.2370995</v>
      </c>
      <c r="H684" s="73"/>
      <c r="I684" s="74"/>
      <c r="J684" s="156">
        <v>0</v>
      </c>
    </row>
    <row r="685" spans="1:10" ht="26.25" hidden="1" thickBot="1" x14ac:dyDescent="0.3">
      <c r="A685" s="222"/>
      <c r="B685" s="225"/>
      <c r="C685" s="36" t="s">
        <v>3474</v>
      </c>
      <c r="D685" s="36" t="s">
        <v>299</v>
      </c>
      <c r="E685" s="37">
        <f>ROUND(2/(1.5*0.6),4)</f>
        <v>2.2222</v>
      </c>
      <c r="F685" s="54">
        <v>20.7575</v>
      </c>
      <c r="G685" s="54">
        <f t="shared" si="12"/>
        <v>46.127316499999999</v>
      </c>
      <c r="H685" s="73"/>
      <c r="I685" s="74"/>
      <c r="J685" s="156">
        <v>0</v>
      </c>
    </row>
    <row r="686" spans="1:10" ht="15.75" hidden="1" thickBot="1" x14ac:dyDescent="0.3">
      <c r="A686" s="222"/>
      <c r="B686" s="225"/>
      <c r="C686" s="36" t="s">
        <v>3436</v>
      </c>
      <c r="D686" s="36" t="s">
        <v>759</v>
      </c>
      <c r="E686" s="37">
        <f>ROUND(1.4944/(1.5*0.6),4)</f>
        <v>1.6604000000000001</v>
      </c>
      <c r="F686" s="54">
        <v>18.420500000000001</v>
      </c>
      <c r="G686" s="54">
        <f t="shared" si="12"/>
        <v>30.585398200000004</v>
      </c>
      <c r="H686" s="73"/>
      <c r="I686" s="74"/>
      <c r="J686" s="156">
        <v>0</v>
      </c>
    </row>
    <row r="687" spans="1:10" ht="15.75" hidden="1" thickBot="1" x14ac:dyDescent="0.3">
      <c r="A687" s="222"/>
      <c r="B687" s="225"/>
      <c r="C687" s="36" t="s">
        <v>760</v>
      </c>
      <c r="D687" s="36" t="s">
        <v>759</v>
      </c>
      <c r="E687" s="37">
        <f>ROUND(0.9834/(1.5*0.6),4)</f>
        <v>1.0927</v>
      </c>
      <c r="F687" s="54">
        <v>16.311500000000002</v>
      </c>
      <c r="G687" s="54">
        <f t="shared" si="12"/>
        <v>17.823576050000003</v>
      </c>
      <c r="H687" s="73"/>
      <c r="I687" s="74"/>
      <c r="J687" s="156">
        <v>0</v>
      </c>
    </row>
    <row r="688" spans="1:10" ht="15.75" hidden="1" thickBot="1" x14ac:dyDescent="0.3">
      <c r="A688" s="222"/>
      <c r="B688" s="225"/>
      <c r="C688" s="36"/>
      <c r="D688" s="36"/>
      <c r="E688" s="37"/>
      <c r="F688" s="31" t="s">
        <v>572</v>
      </c>
      <c r="G688" s="34" t="str">
        <f t="shared" si="12"/>
        <v/>
      </c>
      <c r="H688" s="35"/>
      <c r="I688" s="31"/>
      <c r="J688" s="156">
        <v>0</v>
      </c>
    </row>
    <row r="689" spans="1:10" ht="15.75" hidden="1" thickBot="1" x14ac:dyDescent="0.3">
      <c r="A689" s="221" t="s">
        <v>262</v>
      </c>
      <c r="B689" s="224" t="str">
        <f>INDEX(Orçamentária!A:B,MATCH(Composições!A689,Orçamentária!A:A,0),2)</f>
        <v>Granito Cinza Andorinha 20mm para divisória</v>
      </c>
      <c r="C689" s="41"/>
      <c r="D689" s="26" t="str">
        <f>TRIM(INDEX(Orçamentária!C:C,MATCH(Composições!A689,Orçamentária!A:A,0),1))</f>
        <v>m2</v>
      </c>
      <c r="E689" s="27"/>
      <c r="F689" s="42" t="s">
        <v>572</v>
      </c>
      <c r="G689" s="28" t="str">
        <f t="shared" si="12"/>
        <v/>
      </c>
      <c r="H689" s="29"/>
      <c r="I689" s="30"/>
      <c r="J689" s="156">
        <v>0</v>
      </c>
    </row>
    <row r="690" spans="1:10" ht="15.75" hidden="1" thickBot="1" x14ac:dyDescent="0.3">
      <c r="A690" s="222"/>
      <c r="B690" s="225"/>
      <c r="C690" s="32"/>
      <c r="D690" s="32"/>
      <c r="E690" s="33"/>
      <c r="F690" s="43" t="s">
        <v>572</v>
      </c>
      <c r="G690" s="31" t="str">
        <f t="shared" si="12"/>
        <v/>
      </c>
      <c r="H690" s="35"/>
      <c r="I690" s="31"/>
      <c r="J690" s="156">
        <v>0</v>
      </c>
    </row>
    <row r="691" spans="1:10" ht="15.75" hidden="1" thickBot="1" x14ac:dyDescent="0.3">
      <c r="A691" s="222"/>
      <c r="B691" s="225"/>
      <c r="C691" s="36" t="s">
        <v>263</v>
      </c>
      <c r="D691" s="36" t="s">
        <v>42</v>
      </c>
      <c r="E691" s="37">
        <v>0.7</v>
      </c>
      <c r="F691" s="34">
        <v>1.4915</v>
      </c>
      <c r="G691" s="34">
        <f t="shared" si="12"/>
        <v>1.0440499999999999</v>
      </c>
      <c r="H691" s="39">
        <f>SUM(G691:G695)</f>
        <v>128.53956739885652</v>
      </c>
      <c r="I691" s="40"/>
      <c r="J691" s="156">
        <v>0</v>
      </c>
    </row>
    <row r="692" spans="1:10" ht="26.25" hidden="1" thickBot="1" x14ac:dyDescent="0.3">
      <c r="A692" s="222"/>
      <c r="B692" s="225"/>
      <c r="C692" s="36" t="s">
        <v>264</v>
      </c>
      <c r="D692" s="36" t="s">
        <v>96</v>
      </c>
      <c r="E692" s="37">
        <v>1</v>
      </c>
      <c r="F692" s="34" t="s">
        <v>572</v>
      </c>
      <c r="G692" s="34" t="str">
        <f t="shared" si="12"/>
        <v/>
      </c>
      <c r="H692" s="35"/>
      <c r="I692" s="31"/>
      <c r="J692" s="156">
        <v>0</v>
      </c>
    </row>
    <row r="693" spans="1:10" ht="15.75" hidden="1" thickBot="1" x14ac:dyDescent="0.3">
      <c r="A693" s="222"/>
      <c r="B693" s="225"/>
      <c r="C693" s="36" t="s">
        <v>54</v>
      </c>
      <c r="D693" s="36" t="s">
        <v>12</v>
      </c>
      <c r="E693" s="37">
        <v>4.8</v>
      </c>
      <c r="F693" s="31">
        <v>18.420500000000001</v>
      </c>
      <c r="G693" s="34">
        <f t="shared" si="12"/>
        <v>88.418400000000005</v>
      </c>
      <c r="H693" s="35"/>
      <c r="I693" s="31"/>
      <c r="J693" s="156">
        <v>0</v>
      </c>
    </row>
    <row r="694" spans="1:10" ht="15.75" hidden="1" thickBot="1" x14ac:dyDescent="0.3">
      <c r="A694" s="222"/>
      <c r="B694" s="225"/>
      <c r="C694" s="36" t="s">
        <v>23</v>
      </c>
      <c r="D694" s="36" t="s">
        <v>12</v>
      </c>
      <c r="E694" s="37">
        <v>2.2999999999999998</v>
      </c>
      <c r="F694" s="31">
        <v>16.311500000000002</v>
      </c>
      <c r="G694" s="34">
        <f t="shared" si="12"/>
        <v>37.516449999999999</v>
      </c>
      <c r="H694" s="35"/>
      <c r="I694" s="31"/>
      <c r="J694" s="156">
        <v>0</v>
      </c>
    </row>
    <row r="695" spans="1:10" ht="26.25" hidden="1" thickBot="1" x14ac:dyDescent="0.3">
      <c r="A695" s="222"/>
      <c r="B695" s="225"/>
      <c r="C695" s="36" t="s">
        <v>265</v>
      </c>
      <c r="D695" s="36" t="s">
        <v>112</v>
      </c>
      <c r="E695" s="37">
        <v>3.3E-3</v>
      </c>
      <c r="F695" s="34">
        <v>472.92951480499994</v>
      </c>
      <c r="G695" s="34">
        <f t="shared" si="12"/>
        <v>1.5606673988564999</v>
      </c>
      <c r="H695" s="35"/>
      <c r="I695" s="31"/>
      <c r="J695" s="156">
        <v>0</v>
      </c>
    </row>
    <row r="696" spans="1:10" ht="15.75" hidden="1" thickBot="1" x14ac:dyDescent="0.3">
      <c r="A696" s="222"/>
      <c r="B696" s="225"/>
      <c r="C696" s="36"/>
      <c r="D696" s="36"/>
      <c r="E696" s="37"/>
      <c r="F696" s="34" t="s">
        <v>572</v>
      </c>
      <c r="G696" s="34" t="str">
        <f t="shared" si="12"/>
        <v/>
      </c>
      <c r="H696" s="35"/>
      <c r="I696" s="31"/>
      <c r="J696" s="156">
        <v>0</v>
      </c>
    </row>
    <row r="697" spans="1:10" ht="15.75" hidden="1" thickBot="1" x14ac:dyDescent="0.3">
      <c r="A697" s="221" t="s">
        <v>266</v>
      </c>
      <c r="B697" s="224" t="str">
        <f>INDEX(Orçamentária!A:B,MATCH(Composições!A697,Orçamentária!A:A,0),2)</f>
        <v>Granito Preto São Gabriel 20mm para rodabancada</v>
      </c>
      <c r="C697" s="41"/>
      <c r="D697" s="26" t="str">
        <f>TRIM(INDEX(Orçamentária!C:C,MATCH(Composições!A697,Orçamentária!A:A,0),1))</f>
        <v>m2</v>
      </c>
      <c r="E697" s="27"/>
      <c r="F697" s="42" t="s">
        <v>572</v>
      </c>
      <c r="G697" s="28" t="str">
        <f t="shared" si="12"/>
        <v/>
      </c>
      <c r="H697" s="29"/>
      <c r="I697" s="30"/>
      <c r="J697" s="156">
        <v>0</v>
      </c>
    </row>
    <row r="698" spans="1:10" ht="15.75" hidden="1" thickBot="1" x14ac:dyDescent="0.3">
      <c r="A698" s="222"/>
      <c r="B698" s="225"/>
      <c r="C698" s="32"/>
      <c r="D698" s="32"/>
      <c r="E698" s="33"/>
      <c r="F698" s="43" t="s">
        <v>572</v>
      </c>
      <c r="G698" s="31" t="str">
        <f t="shared" si="12"/>
        <v/>
      </c>
      <c r="H698" s="35"/>
      <c r="I698" s="31"/>
      <c r="J698" s="156">
        <v>0</v>
      </c>
    </row>
    <row r="699" spans="1:10" ht="26.25" hidden="1" thickBot="1" x14ac:dyDescent="0.3">
      <c r="A699" s="222"/>
      <c r="B699" s="225"/>
      <c r="C699" s="36" t="s">
        <v>267</v>
      </c>
      <c r="D699" s="36" t="s">
        <v>94</v>
      </c>
      <c r="E699" s="37">
        <f>ROUND(1.04/0.15,4)</f>
        <v>6.9333</v>
      </c>
      <c r="F699" s="34" t="s">
        <v>572</v>
      </c>
      <c r="G699" s="31" t="str">
        <f t="shared" si="12"/>
        <v/>
      </c>
      <c r="H699" s="39">
        <f>SUM(G699:G703)</f>
        <v>62.564162350000004</v>
      </c>
      <c r="I699" s="40"/>
      <c r="J699" s="156">
        <v>0</v>
      </c>
    </row>
    <row r="700" spans="1:10" ht="15.75" hidden="1" thickBot="1" x14ac:dyDescent="0.3">
      <c r="A700" s="222"/>
      <c r="B700" s="225"/>
      <c r="C700" s="36" t="s">
        <v>3623</v>
      </c>
      <c r="D700" s="36" t="s">
        <v>42</v>
      </c>
      <c r="E700" s="37">
        <f>ROUND(0.8614/0.15,4)</f>
        <v>5.7427000000000001</v>
      </c>
      <c r="F700" s="34">
        <v>1.3109999999999999</v>
      </c>
      <c r="G700" s="34">
        <f t="shared" si="12"/>
        <v>7.5286796999999996</v>
      </c>
      <c r="H700" s="35"/>
      <c r="I700" s="31"/>
      <c r="J700" s="156">
        <v>0</v>
      </c>
    </row>
    <row r="701" spans="1:10" ht="15.75" hidden="1" thickBot="1" x14ac:dyDescent="0.3">
      <c r="A701" s="222"/>
      <c r="B701" s="225"/>
      <c r="C701" s="36" t="s">
        <v>54</v>
      </c>
      <c r="D701" s="36" t="s">
        <v>12</v>
      </c>
      <c r="E701" s="37">
        <f>ROUND(0.299/0.15,4)</f>
        <v>1.9933000000000001</v>
      </c>
      <c r="F701" s="34">
        <v>18.420500000000001</v>
      </c>
      <c r="G701" s="34">
        <f t="shared" si="12"/>
        <v>36.717582650000004</v>
      </c>
      <c r="H701" s="35"/>
      <c r="I701" s="31"/>
      <c r="J701" s="156">
        <v>0</v>
      </c>
    </row>
    <row r="702" spans="1:10" ht="15.75" hidden="1" thickBot="1" x14ac:dyDescent="0.3">
      <c r="A702" s="222"/>
      <c r="B702" s="225"/>
      <c r="C702" s="36" t="s">
        <v>23</v>
      </c>
      <c r="D702" s="36" t="s">
        <v>12</v>
      </c>
      <c r="E702" s="37">
        <f>0.15/0.15</f>
        <v>1</v>
      </c>
      <c r="F702" s="34">
        <v>16.311500000000002</v>
      </c>
      <c r="G702" s="34">
        <f t="shared" si="12"/>
        <v>16.311500000000002</v>
      </c>
      <c r="H702" s="35"/>
      <c r="I702" s="31"/>
      <c r="J702" s="156">
        <v>0</v>
      </c>
    </row>
    <row r="703" spans="1:10" ht="15.75" hidden="1" thickBot="1" x14ac:dyDescent="0.3">
      <c r="A703" s="222"/>
      <c r="B703" s="225"/>
      <c r="C703" s="36" t="s">
        <v>3622</v>
      </c>
      <c r="D703" s="36" t="s">
        <v>42</v>
      </c>
      <c r="E703" s="37">
        <f>0.12/0.15</f>
        <v>0.8</v>
      </c>
      <c r="F703" s="34">
        <v>2.508</v>
      </c>
      <c r="G703" s="34">
        <f t="shared" si="12"/>
        <v>2.0064000000000002</v>
      </c>
      <c r="H703" s="35"/>
      <c r="I703" s="31"/>
      <c r="J703" s="156">
        <v>0</v>
      </c>
    </row>
    <row r="704" spans="1:10" ht="15.75" hidden="1" thickBot="1" x14ac:dyDescent="0.3">
      <c r="A704" s="222"/>
      <c r="B704" s="225"/>
      <c r="C704" s="36"/>
      <c r="D704" s="36"/>
      <c r="E704" s="37"/>
      <c r="F704" s="34" t="s">
        <v>572</v>
      </c>
      <c r="G704" s="34" t="str">
        <f t="shared" si="12"/>
        <v/>
      </c>
      <c r="H704" s="35"/>
      <c r="I704" s="31"/>
      <c r="J704" s="156">
        <v>0</v>
      </c>
    </row>
    <row r="705" spans="1:10" ht="15.75" hidden="1" thickBot="1" x14ac:dyDescent="0.3">
      <c r="A705" s="221" t="s">
        <v>268</v>
      </c>
      <c r="B705" s="224" t="str">
        <f>INDEX(Orçamentária!A:B,MATCH(Composições!A705,Orçamentária!A:A,0),2)</f>
        <v>Granito Preto São Gabriel 20mm para bancadas</v>
      </c>
      <c r="C705" s="41"/>
      <c r="D705" s="26" t="str">
        <f>TRIM(INDEX(Orçamentária!C:C,MATCH(Composições!A705,Orçamentária!A:A,0),1))</f>
        <v>m2</v>
      </c>
      <c r="E705" s="27"/>
      <c r="F705" s="42" t="s">
        <v>572</v>
      </c>
      <c r="G705" s="28" t="str">
        <f t="shared" si="12"/>
        <v/>
      </c>
      <c r="H705" s="29"/>
      <c r="I705" s="30"/>
      <c r="J705" s="156">
        <v>0</v>
      </c>
    </row>
    <row r="706" spans="1:10" ht="15.75" hidden="1" thickBot="1" x14ac:dyDescent="0.3">
      <c r="A706" s="222"/>
      <c r="B706" s="225"/>
      <c r="C706" s="32"/>
      <c r="D706" s="32"/>
      <c r="E706" s="33"/>
      <c r="F706" s="43" t="s">
        <v>572</v>
      </c>
      <c r="G706" s="31" t="str">
        <f t="shared" si="12"/>
        <v/>
      </c>
      <c r="H706" s="35"/>
      <c r="I706" s="31"/>
      <c r="J706" s="156">
        <v>0</v>
      </c>
    </row>
    <row r="707" spans="1:10" ht="15.75" hidden="1" thickBot="1" x14ac:dyDescent="0.3">
      <c r="A707" s="222"/>
      <c r="B707" s="225"/>
      <c r="C707" s="36" t="s">
        <v>3466</v>
      </c>
      <c r="D707" s="36" t="s">
        <v>957</v>
      </c>
      <c r="E707" s="37">
        <f>ROUND(0.5228/(1.5*0.6),4)</f>
        <v>0.58089999999999997</v>
      </c>
      <c r="F707" s="54">
        <v>26.685499999999998</v>
      </c>
      <c r="G707" s="54">
        <f t="shared" si="12"/>
        <v>15.501606949999998</v>
      </c>
      <c r="H707" s="39">
        <f>SUM(G707:G713)</f>
        <v>116.27835554999999</v>
      </c>
      <c r="I707" s="40"/>
      <c r="J707" s="156">
        <v>0</v>
      </c>
    </row>
    <row r="708" spans="1:10" ht="39" hidden="1" thickBot="1" x14ac:dyDescent="0.3">
      <c r="A708" s="222"/>
      <c r="B708" s="225"/>
      <c r="C708" s="36" t="s">
        <v>1199</v>
      </c>
      <c r="D708" s="36" t="s">
        <v>299</v>
      </c>
      <c r="E708" s="37">
        <f>ROUND(6/(1.5*0.6),4)</f>
        <v>6.6666999999999996</v>
      </c>
      <c r="F708" s="54">
        <v>0.75049999999999994</v>
      </c>
      <c r="G708" s="54">
        <f t="shared" si="12"/>
        <v>5.0033583499999992</v>
      </c>
      <c r="H708" s="73"/>
      <c r="I708" s="74"/>
      <c r="J708" s="156">
        <v>0</v>
      </c>
    </row>
    <row r="709" spans="1:10" ht="26.25" hidden="1" thickBot="1" x14ac:dyDescent="0.3">
      <c r="A709" s="222"/>
      <c r="B709" s="225"/>
      <c r="C709" s="36" t="s">
        <v>269</v>
      </c>
      <c r="D709" s="36" t="s">
        <v>1053</v>
      </c>
      <c r="E709" s="37">
        <f>ROUND(1.005/(1.5*0.6),4)</f>
        <v>1.1167</v>
      </c>
      <c r="F709" s="54" t="s">
        <v>572</v>
      </c>
      <c r="G709" s="54" t="str">
        <f t="shared" si="12"/>
        <v/>
      </c>
      <c r="H709" s="73"/>
      <c r="I709" s="74"/>
      <c r="J709" s="156">
        <v>0</v>
      </c>
    </row>
    <row r="710" spans="1:10" ht="15.75" hidden="1" thickBot="1" x14ac:dyDescent="0.3">
      <c r="A710" s="222"/>
      <c r="B710" s="225"/>
      <c r="C710" s="36" t="s">
        <v>3610</v>
      </c>
      <c r="D710" s="36" t="s">
        <v>957</v>
      </c>
      <c r="E710" s="37">
        <f>ROUND(0.0211/(1.5*0.6),4)</f>
        <v>2.3400000000000001E-2</v>
      </c>
      <c r="F710" s="54">
        <v>52.8675</v>
      </c>
      <c r="G710" s="54">
        <f t="shared" si="12"/>
        <v>1.2370995</v>
      </c>
      <c r="H710" s="73"/>
      <c r="I710" s="74"/>
      <c r="J710" s="156">
        <v>0</v>
      </c>
    </row>
    <row r="711" spans="1:10" ht="26.25" hidden="1" thickBot="1" x14ac:dyDescent="0.3">
      <c r="A711" s="222"/>
      <c r="B711" s="225"/>
      <c r="C711" s="36" t="s">
        <v>3474</v>
      </c>
      <c r="D711" s="36" t="s">
        <v>299</v>
      </c>
      <c r="E711" s="37">
        <f>ROUND(2/(1.5*0.6),4)</f>
        <v>2.2222</v>
      </c>
      <c r="F711" s="54">
        <v>20.7575</v>
      </c>
      <c r="G711" s="54">
        <f t="shared" si="12"/>
        <v>46.127316499999999</v>
      </c>
      <c r="H711" s="73"/>
      <c r="I711" s="74"/>
      <c r="J711" s="156">
        <v>0</v>
      </c>
    </row>
    <row r="712" spans="1:10" ht="15.75" hidden="1" thickBot="1" x14ac:dyDescent="0.3">
      <c r="A712" s="222"/>
      <c r="B712" s="225"/>
      <c r="C712" s="36" t="s">
        <v>3436</v>
      </c>
      <c r="D712" s="36" t="s">
        <v>759</v>
      </c>
      <c r="E712" s="37">
        <f>ROUND(1.4944/(1.5*0.6),4)</f>
        <v>1.6604000000000001</v>
      </c>
      <c r="F712" s="54">
        <v>18.420500000000001</v>
      </c>
      <c r="G712" s="54">
        <f t="shared" si="12"/>
        <v>30.585398200000004</v>
      </c>
      <c r="H712" s="73"/>
      <c r="I712" s="74"/>
      <c r="J712" s="156">
        <v>0</v>
      </c>
    </row>
    <row r="713" spans="1:10" ht="15.75" hidden="1" thickBot="1" x14ac:dyDescent="0.3">
      <c r="A713" s="222"/>
      <c r="B713" s="225"/>
      <c r="C713" s="36" t="s">
        <v>760</v>
      </c>
      <c r="D713" s="36" t="s">
        <v>759</v>
      </c>
      <c r="E713" s="37">
        <f>ROUND(0.9834/(1.5*0.6),4)</f>
        <v>1.0927</v>
      </c>
      <c r="F713" s="54">
        <v>16.311500000000002</v>
      </c>
      <c r="G713" s="54">
        <f t="shared" si="12"/>
        <v>17.823576050000003</v>
      </c>
      <c r="H713" s="73"/>
      <c r="I713" s="74"/>
      <c r="J713" s="156">
        <v>0</v>
      </c>
    </row>
    <row r="714" spans="1:10" ht="15.75" hidden="1" thickBot="1" x14ac:dyDescent="0.3">
      <c r="A714" s="222"/>
      <c r="B714" s="225"/>
      <c r="C714" s="36"/>
      <c r="D714" s="36"/>
      <c r="E714" s="37"/>
      <c r="F714" s="31" t="s">
        <v>572</v>
      </c>
      <c r="G714" s="34" t="str">
        <f t="shared" si="12"/>
        <v/>
      </c>
      <c r="H714" s="35"/>
      <c r="I714" s="31"/>
      <c r="J714" s="156">
        <v>0</v>
      </c>
    </row>
    <row r="715" spans="1:10" ht="15.75" hidden="1" thickBot="1" x14ac:dyDescent="0.3">
      <c r="A715" s="221" t="s">
        <v>270</v>
      </c>
      <c r="B715" s="224" t="str">
        <f>INDEX(Orçamentária!A:B,MATCH(Composições!A715,Orçamentária!A:A,0),2)</f>
        <v>Instalação de bancada de granito ou mármore reaproveitada</v>
      </c>
      <c r="C715" s="41"/>
      <c r="D715" s="26" t="str">
        <f>TRIM(INDEX(Orçamentária!C:C,MATCH(Composições!A715,Orçamentária!A:A,0),1))</f>
        <v>m2</v>
      </c>
      <c r="E715" s="27"/>
      <c r="F715" s="42" t="s">
        <v>572</v>
      </c>
      <c r="G715" s="28" t="str">
        <f t="shared" si="12"/>
        <v/>
      </c>
      <c r="H715" s="29"/>
      <c r="I715" s="30"/>
      <c r="J715" s="156">
        <v>0</v>
      </c>
    </row>
    <row r="716" spans="1:10" ht="15.75" hidden="1" thickBot="1" x14ac:dyDescent="0.3">
      <c r="A716" s="222"/>
      <c r="B716" s="225"/>
      <c r="C716" s="32"/>
      <c r="D716" s="32"/>
      <c r="E716" s="33"/>
      <c r="F716" s="43" t="s">
        <v>572</v>
      </c>
      <c r="G716" s="31" t="str">
        <f t="shared" si="12"/>
        <v/>
      </c>
      <c r="H716" s="35"/>
      <c r="I716" s="31"/>
      <c r="J716" s="156">
        <v>0</v>
      </c>
    </row>
    <row r="717" spans="1:10" ht="15.75" hidden="1" thickBot="1" x14ac:dyDescent="0.3">
      <c r="A717" s="222"/>
      <c r="B717" s="225"/>
      <c r="C717" s="36" t="s">
        <v>3466</v>
      </c>
      <c r="D717" s="36" t="s">
        <v>957</v>
      </c>
      <c r="E717" s="37">
        <f>ROUND(0.5228/(1.5*0.6),4)</f>
        <v>0.58089999999999997</v>
      </c>
      <c r="F717" s="54">
        <v>26.685499999999998</v>
      </c>
      <c r="G717" s="54">
        <f t="shared" si="12"/>
        <v>15.501606949999998</v>
      </c>
      <c r="H717" s="39">
        <f>SUM(G717:G722)</f>
        <v>116.27835554999999</v>
      </c>
      <c r="I717" s="40"/>
      <c r="J717" s="156">
        <v>0</v>
      </c>
    </row>
    <row r="718" spans="1:10" ht="39" hidden="1" thickBot="1" x14ac:dyDescent="0.3">
      <c r="A718" s="222"/>
      <c r="B718" s="225"/>
      <c r="C718" s="36" t="s">
        <v>1199</v>
      </c>
      <c r="D718" s="36" t="s">
        <v>299</v>
      </c>
      <c r="E718" s="37">
        <f>ROUND(6/(1.5*0.6),4)</f>
        <v>6.6666999999999996</v>
      </c>
      <c r="F718" s="54">
        <v>0.75049999999999994</v>
      </c>
      <c r="G718" s="54">
        <f t="shared" si="12"/>
        <v>5.0033583499999992</v>
      </c>
      <c r="H718" s="73"/>
      <c r="I718" s="74"/>
      <c r="J718" s="156">
        <v>0</v>
      </c>
    </row>
    <row r="719" spans="1:10" ht="15.75" hidden="1" thickBot="1" x14ac:dyDescent="0.3">
      <c r="A719" s="222"/>
      <c r="B719" s="225"/>
      <c r="C719" s="36" t="s">
        <v>3610</v>
      </c>
      <c r="D719" s="36" t="s">
        <v>957</v>
      </c>
      <c r="E719" s="37">
        <f>ROUND(0.0211/(1.5*0.6),4)</f>
        <v>2.3400000000000001E-2</v>
      </c>
      <c r="F719" s="54">
        <v>52.8675</v>
      </c>
      <c r="G719" s="54">
        <f t="shared" si="12"/>
        <v>1.2370995</v>
      </c>
      <c r="H719" s="73"/>
      <c r="I719" s="74"/>
      <c r="J719" s="156">
        <v>0</v>
      </c>
    </row>
    <row r="720" spans="1:10" ht="26.25" hidden="1" thickBot="1" x14ac:dyDescent="0.3">
      <c r="A720" s="222"/>
      <c r="B720" s="225"/>
      <c r="C720" s="36" t="s">
        <v>3474</v>
      </c>
      <c r="D720" s="36" t="s">
        <v>299</v>
      </c>
      <c r="E720" s="37">
        <f>ROUND(2/(1.5*0.6),4)</f>
        <v>2.2222</v>
      </c>
      <c r="F720" s="54">
        <v>20.7575</v>
      </c>
      <c r="G720" s="54">
        <f t="shared" si="12"/>
        <v>46.127316499999999</v>
      </c>
      <c r="H720" s="73"/>
      <c r="I720" s="74"/>
      <c r="J720" s="156">
        <v>0</v>
      </c>
    </row>
    <row r="721" spans="1:10" ht="15.75" hidden="1" thickBot="1" x14ac:dyDescent="0.3">
      <c r="A721" s="222"/>
      <c r="B721" s="225"/>
      <c r="C721" s="36" t="s">
        <v>3436</v>
      </c>
      <c r="D721" s="36" t="s">
        <v>759</v>
      </c>
      <c r="E721" s="37">
        <f>ROUND(1.4944/(1.5*0.6),4)</f>
        <v>1.6604000000000001</v>
      </c>
      <c r="F721" s="54">
        <v>18.420500000000001</v>
      </c>
      <c r="G721" s="54">
        <f t="shared" si="12"/>
        <v>30.585398200000004</v>
      </c>
      <c r="H721" s="73"/>
      <c r="I721" s="74"/>
      <c r="J721" s="156">
        <v>0</v>
      </c>
    </row>
    <row r="722" spans="1:10" ht="15.75" hidden="1" thickBot="1" x14ac:dyDescent="0.3">
      <c r="A722" s="222"/>
      <c r="B722" s="225"/>
      <c r="C722" s="36" t="s">
        <v>760</v>
      </c>
      <c r="D722" s="36" t="s">
        <v>759</v>
      </c>
      <c r="E722" s="37">
        <f>ROUND(0.9834/(1.5*0.6),4)</f>
        <v>1.0927</v>
      </c>
      <c r="F722" s="54">
        <v>16.311500000000002</v>
      </c>
      <c r="G722" s="54">
        <f t="shared" si="12"/>
        <v>17.823576050000003</v>
      </c>
      <c r="H722" s="73"/>
      <c r="I722" s="74"/>
      <c r="J722" s="156">
        <v>0</v>
      </c>
    </row>
    <row r="723" spans="1:10" ht="15.75" hidden="1" thickBot="1" x14ac:dyDescent="0.3">
      <c r="A723" s="223"/>
      <c r="B723" s="226"/>
      <c r="C723" s="36"/>
      <c r="D723" s="36"/>
      <c r="E723" s="37"/>
      <c r="F723" s="31" t="s">
        <v>572</v>
      </c>
      <c r="G723" s="31" t="str">
        <f t="shared" si="12"/>
        <v/>
      </c>
      <c r="H723" s="35"/>
      <c r="I723" s="31"/>
      <c r="J723" s="156">
        <v>0</v>
      </c>
    </row>
    <row r="724" spans="1:10" ht="15.75" hidden="1" thickBot="1" x14ac:dyDescent="0.3">
      <c r="A724" s="221" t="s">
        <v>271</v>
      </c>
      <c r="B724" s="224" t="str">
        <f>INDEX(Orçamentária!A:B,MATCH(Composições!A724,Orçamentária!A:A,0),2)</f>
        <v>Instalação de rodapé reaproveitado, de mármore ou granito</v>
      </c>
      <c r="C724" s="41"/>
      <c r="D724" s="26" t="str">
        <f>TRIM(INDEX(Orçamentária!C:C,MATCH(Composições!A724,Orçamentária!A:A,0),1))</f>
        <v>m2</v>
      </c>
      <c r="E724" s="27"/>
      <c r="F724" s="42" t="s">
        <v>572</v>
      </c>
      <c r="G724" s="28" t="str">
        <f t="shared" si="12"/>
        <v/>
      </c>
      <c r="H724" s="29"/>
      <c r="I724" s="30"/>
      <c r="J724" s="156">
        <v>0</v>
      </c>
    </row>
    <row r="725" spans="1:10" ht="15.75" hidden="1" thickBot="1" x14ac:dyDescent="0.3">
      <c r="A725" s="222"/>
      <c r="B725" s="225"/>
      <c r="C725" s="32"/>
      <c r="D725" s="32"/>
      <c r="E725" s="33"/>
      <c r="F725" s="43" t="s">
        <v>572</v>
      </c>
      <c r="G725" s="31" t="str">
        <f t="shared" ref="G725:G788" si="13">IF(ISNUMBER(F725),E725*F725,"")</f>
        <v/>
      </c>
      <c r="H725" s="35"/>
      <c r="I725" s="31"/>
      <c r="J725" s="156">
        <v>0</v>
      </c>
    </row>
    <row r="726" spans="1:10" ht="15.75" hidden="1" thickBot="1" x14ac:dyDescent="0.3">
      <c r="A726" s="222"/>
      <c r="B726" s="225"/>
      <c r="C726" s="36" t="s">
        <v>3623</v>
      </c>
      <c r="D726" s="36" t="s">
        <v>42</v>
      </c>
      <c r="E726" s="37">
        <f>0.8614</f>
        <v>0.86140000000000005</v>
      </c>
      <c r="F726" s="34">
        <v>1.3109999999999999</v>
      </c>
      <c r="G726" s="34">
        <f t="shared" si="13"/>
        <v>1.1292953999999999</v>
      </c>
      <c r="H726" s="39">
        <f>SUM(G726:G729)</f>
        <v>9.3847099000000007</v>
      </c>
      <c r="I726" s="40"/>
      <c r="J726" s="156">
        <v>0</v>
      </c>
    </row>
    <row r="727" spans="1:10" ht="15.75" hidden="1" thickBot="1" x14ac:dyDescent="0.3">
      <c r="A727" s="222"/>
      <c r="B727" s="225"/>
      <c r="C727" s="36" t="s">
        <v>54</v>
      </c>
      <c r="D727" s="36" t="s">
        <v>12</v>
      </c>
      <c r="E727" s="37">
        <f>0.299</f>
        <v>0.29899999999999999</v>
      </c>
      <c r="F727" s="31">
        <v>18.420500000000001</v>
      </c>
      <c r="G727" s="34">
        <f t="shared" si="13"/>
        <v>5.5077294999999999</v>
      </c>
      <c r="H727" s="35"/>
      <c r="I727" s="31"/>
      <c r="J727" s="156">
        <v>0</v>
      </c>
    </row>
    <row r="728" spans="1:10" ht="15.75" hidden="1" thickBot="1" x14ac:dyDescent="0.3">
      <c r="A728" s="222"/>
      <c r="B728" s="225"/>
      <c r="C728" s="36" t="s">
        <v>23</v>
      </c>
      <c r="D728" s="36" t="s">
        <v>12</v>
      </c>
      <c r="E728" s="37">
        <f>0.15</f>
        <v>0.15</v>
      </c>
      <c r="F728" s="31">
        <v>16.311500000000002</v>
      </c>
      <c r="G728" s="34">
        <f t="shared" si="13"/>
        <v>2.4467250000000003</v>
      </c>
      <c r="H728" s="35"/>
      <c r="I728" s="31"/>
      <c r="J728" s="156">
        <v>0</v>
      </c>
    </row>
    <row r="729" spans="1:10" ht="15.75" hidden="1" thickBot="1" x14ac:dyDescent="0.3">
      <c r="A729" s="222"/>
      <c r="B729" s="225"/>
      <c r="C729" s="36" t="s">
        <v>3622</v>
      </c>
      <c r="D729" s="36" t="s">
        <v>42</v>
      </c>
      <c r="E729" s="37">
        <f>0.12</f>
        <v>0.12</v>
      </c>
      <c r="F729" s="34">
        <v>2.508</v>
      </c>
      <c r="G729" s="34">
        <f t="shared" si="13"/>
        <v>0.30096000000000001</v>
      </c>
      <c r="H729" s="35"/>
      <c r="I729" s="31"/>
      <c r="J729" s="156">
        <v>0</v>
      </c>
    </row>
    <row r="730" spans="1:10" ht="15.75" hidden="1" thickBot="1" x14ac:dyDescent="0.3">
      <c r="A730" s="223"/>
      <c r="B730" s="226"/>
      <c r="C730" s="36"/>
      <c r="D730" s="36"/>
      <c r="E730" s="37"/>
      <c r="F730" s="31" t="s">
        <v>572</v>
      </c>
      <c r="G730" s="31" t="str">
        <f t="shared" si="13"/>
        <v/>
      </c>
      <c r="H730" s="35"/>
      <c r="I730" s="31"/>
      <c r="J730" s="156">
        <v>0</v>
      </c>
    </row>
    <row r="731" spans="1:10" ht="15.75" hidden="1" thickBot="1" x14ac:dyDescent="0.3">
      <c r="A731" s="221" t="s">
        <v>272</v>
      </c>
      <c r="B731" s="224" t="str">
        <f>INDEX(Orçamentária!A:B,MATCH(Composições!A731,Orçamentária!A:A,0),2)</f>
        <v>Instalação de soleira ou peitoril, de mármore ou granito, reaproveitados</v>
      </c>
      <c r="C731" s="41"/>
      <c r="D731" s="26" t="str">
        <f>TRIM(INDEX(Orçamentária!C:C,MATCH(Composições!A731,Orçamentária!A:A,0),1))</f>
        <v>m2</v>
      </c>
      <c r="E731" s="27"/>
      <c r="F731" s="42" t="s">
        <v>572</v>
      </c>
      <c r="G731" s="28" t="str">
        <f t="shared" si="13"/>
        <v/>
      </c>
      <c r="H731" s="29"/>
      <c r="I731" s="30"/>
      <c r="J731" s="156">
        <v>0</v>
      </c>
    </row>
    <row r="732" spans="1:10" ht="15.75" hidden="1" thickBot="1" x14ac:dyDescent="0.3">
      <c r="A732" s="222"/>
      <c r="B732" s="225"/>
      <c r="C732" s="32"/>
      <c r="D732" s="32"/>
      <c r="E732" s="33"/>
      <c r="F732" s="43" t="s">
        <v>572</v>
      </c>
      <c r="G732" s="31" t="str">
        <f t="shared" si="13"/>
        <v/>
      </c>
      <c r="H732" s="35"/>
      <c r="I732" s="31"/>
      <c r="J732" s="156">
        <v>0</v>
      </c>
    </row>
    <row r="733" spans="1:10" ht="15.75" hidden="1" thickBot="1" x14ac:dyDescent="0.3">
      <c r="A733" s="222"/>
      <c r="B733" s="225"/>
      <c r="C733" s="36" t="s">
        <v>54</v>
      </c>
      <c r="D733" s="36" t="s">
        <v>12</v>
      </c>
      <c r="E733" s="37">
        <v>1.1879999999999999</v>
      </c>
      <c r="F733" s="31">
        <v>18.420500000000001</v>
      </c>
      <c r="G733" s="34">
        <f t="shared" si="13"/>
        <v>21.883554</v>
      </c>
      <c r="H733" s="39">
        <f>SUM(G733:G735)</f>
        <v>42.873405000000005</v>
      </c>
      <c r="I733" s="40"/>
      <c r="J733" s="156">
        <v>0</v>
      </c>
    </row>
    <row r="734" spans="1:10" ht="15.75" hidden="1" thickBot="1" x14ac:dyDescent="0.3">
      <c r="A734" s="222"/>
      <c r="B734" s="225"/>
      <c r="C734" s="36" t="s">
        <v>23</v>
      </c>
      <c r="D734" s="36" t="s">
        <v>12</v>
      </c>
      <c r="E734" s="37">
        <v>0.59399999999999997</v>
      </c>
      <c r="F734" s="31">
        <v>16.311500000000002</v>
      </c>
      <c r="G734" s="34">
        <f t="shared" si="13"/>
        <v>9.6890310000000017</v>
      </c>
      <c r="H734" s="35"/>
      <c r="I734" s="31"/>
      <c r="J734" s="156">
        <v>0</v>
      </c>
    </row>
    <row r="735" spans="1:10" ht="15.75" hidden="1" thickBot="1" x14ac:dyDescent="0.3">
      <c r="A735" s="222"/>
      <c r="B735" s="225"/>
      <c r="C735" s="36" t="s">
        <v>3623</v>
      </c>
      <c r="D735" s="36" t="s">
        <v>42</v>
      </c>
      <c r="E735" s="37">
        <v>8.6199999999999992</v>
      </c>
      <c r="F735" s="34">
        <v>1.3109999999999999</v>
      </c>
      <c r="G735" s="34">
        <f t="shared" si="13"/>
        <v>11.300819999999998</v>
      </c>
      <c r="H735" s="35"/>
      <c r="I735" s="31"/>
      <c r="J735" s="156">
        <v>0</v>
      </c>
    </row>
    <row r="736" spans="1:10" ht="15.75" hidden="1" thickBot="1" x14ac:dyDescent="0.3">
      <c r="A736" s="223"/>
      <c r="B736" s="226"/>
      <c r="C736" s="36"/>
      <c r="D736" s="36"/>
      <c r="E736" s="37"/>
      <c r="F736" s="31" t="s">
        <v>572</v>
      </c>
      <c r="G736" s="31" t="str">
        <f t="shared" si="13"/>
        <v/>
      </c>
      <c r="H736" s="35"/>
      <c r="I736" s="31"/>
      <c r="J736" s="156">
        <v>0</v>
      </c>
    </row>
    <row r="737" spans="1:10" ht="15.75" hidden="1" thickBot="1" x14ac:dyDescent="0.3">
      <c r="A737" s="221" t="s">
        <v>273</v>
      </c>
      <c r="B737" s="224" t="str">
        <f>INDEX(Orçamentária!A:B,MATCH(Composições!A737,Orçamentária!A:A,0),2)</f>
        <v>Mármore Branco Especial 20mm para rodabancada</v>
      </c>
      <c r="C737" s="41"/>
      <c r="D737" s="26" t="str">
        <f>TRIM(INDEX(Orçamentária!C:C,MATCH(Composições!A737,Orçamentária!A:A,0),1))</f>
        <v>m2</v>
      </c>
      <c r="E737" s="27"/>
      <c r="F737" s="42" t="s">
        <v>572</v>
      </c>
      <c r="G737" s="28" t="str">
        <f t="shared" si="13"/>
        <v/>
      </c>
      <c r="H737" s="29"/>
      <c r="I737" s="30"/>
      <c r="J737" s="156">
        <v>0</v>
      </c>
    </row>
    <row r="738" spans="1:10" ht="15.75" hidden="1" thickBot="1" x14ac:dyDescent="0.3">
      <c r="A738" s="222"/>
      <c r="B738" s="225"/>
      <c r="C738" s="32"/>
      <c r="D738" s="32"/>
      <c r="E738" s="33"/>
      <c r="F738" s="43" t="s">
        <v>572</v>
      </c>
      <c r="G738" s="31" t="str">
        <f t="shared" si="13"/>
        <v/>
      </c>
      <c r="H738" s="35"/>
      <c r="I738" s="31"/>
      <c r="J738" s="156">
        <v>0</v>
      </c>
    </row>
    <row r="739" spans="1:10" ht="26.25" hidden="1" thickBot="1" x14ac:dyDescent="0.3">
      <c r="A739" s="222"/>
      <c r="B739" s="225"/>
      <c r="C739" s="36" t="s">
        <v>274</v>
      </c>
      <c r="D739" s="36" t="s">
        <v>94</v>
      </c>
      <c r="E739" s="37">
        <f>ROUND(1.04/0.15,4)</f>
        <v>6.9333</v>
      </c>
      <c r="F739" s="34" t="s">
        <v>572</v>
      </c>
      <c r="G739" s="34" t="str">
        <f t="shared" si="13"/>
        <v/>
      </c>
      <c r="H739" s="39">
        <f>SUM(G739:G743)</f>
        <v>43.224525</v>
      </c>
      <c r="I739" s="40"/>
      <c r="J739" s="156">
        <v>0</v>
      </c>
    </row>
    <row r="740" spans="1:10" ht="15.75" hidden="1" thickBot="1" x14ac:dyDescent="0.3">
      <c r="A740" s="222"/>
      <c r="B740" s="225"/>
      <c r="C740" s="36" t="s">
        <v>3623</v>
      </c>
      <c r="D740" s="36" t="s">
        <v>42</v>
      </c>
      <c r="E740" s="37">
        <v>8.6199999999999992</v>
      </c>
      <c r="F740" s="34">
        <v>1.3109999999999999</v>
      </c>
      <c r="G740" s="34">
        <f t="shared" si="13"/>
        <v>11.300819999999998</v>
      </c>
      <c r="H740" s="35"/>
      <c r="I740" s="31"/>
      <c r="J740" s="156">
        <v>0</v>
      </c>
    </row>
    <row r="741" spans="1:10" ht="15.75" hidden="1" thickBot="1" x14ac:dyDescent="0.3">
      <c r="A741" s="222"/>
      <c r="B741" s="225"/>
      <c r="C741" s="36" t="s">
        <v>54</v>
      </c>
      <c r="D741" s="36" t="s">
        <v>12</v>
      </c>
      <c r="E741" s="37">
        <v>1.1879999999999999</v>
      </c>
      <c r="F741" s="31">
        <v>18.420500000000001</v>
      </c>
      <c r="G741" s="34">
        <f t="shared" si="13"/>
        <v>21.883554</v>
      </c>
      <c r="H741" s="35"/>
      <c r="I741" s="31"/>
      <c r="J741" s="156">
        <v>0</v>
      </c>
    </row>
    <row r="742" spans="1:10" ht="15.75" hidden="1" thickBot="1" x14ac:dyDescent="0.3">
      <c r="A742" s="222"/>
      <c r="B742" s="225"/>
      <c r="C742" s="36" t="s">
        <v>23</v>
      </c>
      <c r="D742" s="36" t="s">
        <v>12</v>
      </c>
      <c r="E742" s="37">
        <v>0.59399999999999997</v>
      </c>
      <c r="F742" s="31">
        <v>16.311500000000002</v>
      </c>
      <c r="G742" s="34">
        <f t="shared" si="13"/>
        <v>9.6890310000000017</v>
      </c>
      <c r="H742" s="35"/>
      <c r="I742" s="31"/>
      <c r="J742" s="156">
        <v>0</v>
      </c>
    </row>
    <row r="743" spans="1:10" ht="15.75" hidden="1" thickBot="1" x14ac:dyDescent="0.3">
      <c r="A743" s="222"/>
      <c r="B743" s="225"/>
      <c r="C743" s="36" t="s">
        <v>3622</v>
      </c>
      <c r="D743" s="36" t="s">
        <v>42</v>
      </c>
      <c r="E743" s="37">
        <v>0.14000000000000001</v>
      </c>
      <c r="F743" s="34">
        <v>2.508</v>
      </c>
      <c r="G743" s="34">
        <f t="shared" si="13"/>
        <v>0.35112000000000004</v>
      </c>
      <c r="H743" s="35"/>
      <c r="I743" s="31"/>
      <c r="J743" s="156">
        <v>0</v>
      </c>
    </row>
    <row r="744" spans="1:10" ht="15.75" hidden="1" thickBot="1" x14ac:dyDescent="0.3">
      <c r="A744" s="222"/>
      <c r="B744" s="225"/>
      <c r="C744" s="36"/>
      <c r="D744" s="36"/>
      <c r="E744" s="37"/>
      <c r="F744" s="34" t="s">
        <v>572</v>
      </c>
      <c r="G744" s="34" t="str">
        <f t="shared" si="13"/>
        <v/>
      </c>
      <c r="H744" s="35"/>
      <c r="I744" s="31"/>
      <c r="J744" s="156">
        <v>0</v>
      </c>
    </row>
    <row r="745" spans="1:10" ht="15.75" hidden="1" thickBot="1" x14ac:dyDescent="0.3">
      <c r="A745" s="221" t="s">
        <v>275</v>
      </c>
      <c r="B745" s="224" t="str">
        <f>INDEX(Orçamentária!A:B,MATCH(Composições!A745,Orçamentária!A:A,0),2)</f>
        <v>Instalação de divisória e porta de divisória com dobradiça reaproveitadas</v>
      </c>
      <c r="C745" s="41"/>
      <c r="D745" s="26" t="str">
        <f>TRIM(INDEX(Orçamentária!C:C,MATCH(Composições!A745,Orçamentária!A:A,0),1))</f>
        <v>m2</v>
      </c>
      <c r="E745" s="27"/>
      <c r="F745" s="42" t="s">
        <v>572</v>
      </c>
      <c r="G745" s="28" t="str">
        <f t="shared" si="13"/>
        <v/>
      </c>
      <c r="H745" s="29"/>
      <c r="I745" s="30"/>
      <c r="J745" s="156">
        <v>0</v>
      </c>
    </row>
    <row r="746" spans="1:10" ht="15.75" hidden="1" thickBot="1" x14ac:dyDescent="0.3">
      <c r="A746" s="222"/>
      <c r="B746" s="225"/>
      <c r="C746" s="32"/>
      <c r="D746" s="32"/>
      <c r="E746" s="33"/>
      <c r="F746" s="43" t="s">
        <v>572</v>
      </c>
      <c r="G746" s="31" t="str">
        <f t="shared" si="13"/>
        <v/>
      </c>
      <c r="H746" s="35"/>
      <c r="I746" s="31"/>
      <c r="J746" s="156">
        <v>0</v>
      </c>
    </row>
    <row r="747" spans="1:10" ht="26.25" hidden="1" thickBot="1" x14ac:dyDescent="0.3">
      <c r="A747" s="222"/>
      <c r="B747" s="225"/>
      <c r="C747" s="36" t="s">
        <v>276</v>
      </c>
      <c r="D747" s="47" t="s">
        <v>96</v>
      </c>
      <c r="E747" s="37">
        <v>1</v>
      </c>
      <c r="F747" s="31">
        <v>0.95</v>
      </c>
      <c r="G747" s="34">
        <f t="shared" si="13"/>
        <v>0.95</v>
      </c>
      <c r="H747" s="39">
        <f>SUM(G747:G747)</f>
        <v>0.95</v>
      </c>
      <c r="I747" s="40"/>
      <c r="J747" s="156">
        <v>0</v>
      </c>
    </row>
    <row r="748" spans="1:10" ht="15.75" hidden="1" thickBot="1" x14ac:dyDescent="0.3">
      <c r="A748" s="223"/>
      <c r="B748" s="226"/>
      <c r="C748" s="36"/>
      <c r="D748" s="36"/>
      <c r="E748" s="37"/>
      <c r="F748" s="31" t="s">
        <v>572</v>
      </c>
      <c r="G748" s="31" t="str">
        <f t="shared" si="13"/>
        <v/>
      </c>
      <c r="H748" s="35"/>
      <c r="I748" s="31"/>
      <c r="J748" s="156">
        <v>0</v>
      </c>
    </row>
    <row r="749" spans="1:10" ht="15.75" hidden="1" thickBot="1" x14ac:dyDescent="0.3">
      <c r="A749" s="221" t="s">
        <v>277</v>
      </c>
      <c r="B749" s="224" t="str">
        <f>INDEX(Orçamentária!A:B,MATCH(Composições!A749,Orçamentária!A:A,0),2)</f>
        <v>Alçapão em forro de gesso acartonado</v>
      </c>
      <c r="C749" s="41"/>
      <c r="D749" s="26" t="str">
        <f>TRIM(INDEX(Orçamentária!C:C,MATCH(Composições!A749,Orçamentária!A:A,0),1))</f>
        <v>m2</v>
      </c>
      <c r="E749" s="27"/>
      <c r="F749" s="42" t="s">
        <v>572</v>
      </c>
      <c r="G749" s="28" t="str">
        <f t="shared" si="13"/>
        <v/>
      </c>
      <c r="H749" s="29"/>
      <c r="I749" s="30"/>
      <c r="J749" s="156">
        <v>0</v>
      </c>
    </row>
    <row r="750" spans="1:10" ht="15.75" hidden="1" thickBot="1" x14ac:dyDescent="0.3">
      <c r="A750" s="222"/>
      <c r="B750" s="225"/>
      <c r="C750" s="32"/>
      <c r="D750" s="32"/>
      <c r="E750" s="33"/>
      <c r="F750" s="43" t="s">
        <v>572</v>
      </c>
      <c r="G750" s="31" t="str">
        <f t="shared" si="13"/>
        <v/>
      </c>
      <c r="H750" s="35"/>
      <c r="I750" s="31"/>
      <c r="J750" s="156">
        <v>0</v>
      </c>
    </row>
    <row r="751" spans="1:10" ht="26.25" hidden="1" thickBot="1" x14ac:dyDescent="0.3">
      <c r="A751" s="222"/>
      <c r="B751" s="225"/>
      <c r="C751" s="36" t="s">
        <v>278</v>
      </c>
      <c r="D751" s="47" t="s">
        <v>94</v>
      </c>
      <c r="E751" s="37">
        <f>2*(1.5+0.67)</f>
        <v>4.34</v>
      </c>
      <c r="F751" s="34">
        <v>4.607499999999999</v>
      </c>
      <c r="G751" s="34">
        <f t="shared" si="13"/>
        <v>19.996549999999996</v>
      </c>
      <c r="H751" s="39">
        <f>SUM(G751:G754)</f>
        <v>58.281549999999996</v>
      </c>
      <c r="I751" s="40"/>
      <c r="J751" s="156">
        <v>0</v>
      </c>
    </row>
    <row r="752" spans="1:10" ht="15.75" hidden="1" thickBot="1" x14ac:dyDescent="0.3">
      <c r="A752" s="222"/>
      <c r="B752" s="225"/>
      <c r="C752" s="36" t="s">
        <v>279</v>
      </c>
      <c r="D752" s="47" t="s">
        <v>96</v>
      </c>
      <c r="E752" s="37">
        <f>0.36/0.6/0.6</f>
        <v>1</v>
      </c>
      <c r="F752" s="34" t="s">
        <v>572</v>
      </c>
      <c r="G752" s="34" t="str">
        <f t="shared" si="13"/>
        <v/>
      </c>
      <c r="H752" s="35"/>
      <c r="I752" s="31"/>
      <c r="J752" s="156">
        <v>0</v>
      </c>
    </row>
    <row r="753" spans="1:10" ht="15.75" hidden="1" thickBot="1" x14ac:dyDescent="0.3">
      <c r="A753" s="222"/>
      <c r="B753" s="225"/>
      <c r="C753" s="36" t="s">
        <v>187</v>
      </c>
      <c r="D753" s="47" t="s">
        <v>12</v>
      </c>
      <c r="E753" s="37">
        <v>1</v>
      </c>
      <c r="F753" s="31">
        <v>21.973499999999998</v>
      </c>
      <c r="G753" s="34">
        <f t="shared" si="13"/>
        <v>21.973499999999998</v>
      </c>
      <c r="H753" s="35"/>
      <c r="I753" s="31"/>
      <c r="J753" s="156">
        <v>0</v>
      </c>
    </row>
    <row r="754" spans="1:10" ht="15.75" hidden="1" thickBot="1" x14ac:dyDescent="0.3">
      <c r="A754" s="222"/>
      <c r="B754" s="225"/>
      <c r="C754" s="36" t="s">
        <v>23</v>
      </c>
      <c r="D754" s="47" t="s">
        <v>12</v>
      </c>
      <c r="E754" s="37">
        <v>1</v>
      </c>
      <c r="F754" s="31">
        <v>16.311500000000002</v>
      </c>
      <c r="G754" s="34">
        <f t="shared" si="13"/>
        <v>16.311500000000002</v>
      </c>
      <c r="H754" s="35"/>
      <c r="I754" s="31"/>
      <c r="J754" s="156">
        <v>0</v>
      </c>
    </row>
    <row r="755" spans="1:10" ht="15.75" hidden="1" thickBot="1" x14ac:dyDescent="0.3">
      <c r="A755" s="223"/>
      <c r="B755" s="226"/>
      <c r="C755" s="36"/>
      <c r="D755" s="36"/>
      <c r="E755" s="37"/>
      <c r="F755" s="31" t="s">
        <v>572</v>
      </c>
      <c r="G755" s="31" t="str">
        <f t="shared" si="13"/>
        <v/>
      </c>
      <c r="H755" s="35"/>
      <c r="I755" s="31"/>
      <c r="J755" s="156">
        <v>0</v>
      </c>
    </row>
    <row r="756" spans="1:10" ht="15.75" hidden="1" thickBot="1" x14ac:dyDescent="0.3">
      <c r="A756" s="221" t="s">
        <v>280</v>
      </c>
      <c r="B756" s="224" t="str">
        <f>INDEX(Orçamentária!A:B,MATCH(Composições!A756,Orçamentária!A:A,0),2)</f>
        <v>Forro de PVC em réguas de 100 x 6000mm</v>
      </c>
      <c r="C756" s="41"/>
      <c r="D756" s="26" t="str">
        <f>TRIM(INDEX(Orçamentária!C:C,MATCH(Composições!A756,Orçamentária!A:A,0),1))</f>
        <v>m2</v>
      </c>
      <c r="E756" s="27"/>
      <c r="F756" s="42" t="s">
        <v>572</v>
      </c>
      <c r="G756" s="28" t="str">
        <f t="shared" si="13"/>
        <v/>
      </c>
      <c r="H756" s="29"/>
      <c r="I756" s="30"/>
      <c r="J756" s="156">
        <v>0</v>
      </c>
    </row>
    <row r="757" spans="1:10" ht="15.75" hidden="1" thickBot="1" x14ac:dyDescent="0.3">
      <c r="A757" s="222"/>
      <c r="B757" s="225"/>
      <c r="C757" s="32"/>
      <c r="D757" s="32"/>
      <c r="E757" s="33"/>
      <c r="F757" s="43" t="s">
        <v>572</v>
      </c>
      <c r="G757" s="31" t="str">
        <f t="shared" si="13"/>
        <v/>
      </c>
      <c r="H757" s="35"/>
      <c r="I757" s="31"/>
      <c r="J757" s="156">
        <v>0</v>
      </c>
    </row>
    <row r="758" spans="1:10" ht="26.25" hidden="1" thickBot="1" x14ac:dyDescent="0.3">
      <c r="A758" s="222"/>
      <c r="B758" s="225"/>
      <c r="C758" s="36" t="s">
        <v>281</v>
      </c>
      <c r="D758" s="47" t="s">
        <v>42</v>
      </c>
      <c r="E758" s="37">
        <v>4.2599999999999999E-2</v>
      </c>
      <c r="F758" s="34">
        <v>21.878499999999999</v>
      </c>
      <c r="G758" s="31">
        <f t="shared" si="13"/>
        <v>0.93202409999999991</v>
      </c>
      <c r="H758" s="39">
        <f>SUM(G758:G765)</f>
        <v>58.347007849999997</v>
      </c>
      <c r="I758" s="40"/>
      <c r="J758" s="156">
        <v>0</v>
      </c>
    </row>
    <row r="759" spans="1:10" ht="26.25" hidden="1" thickBot="1" x14ac:dyDescent="0.3">
      <c r="A759" s="222"/>
      <c r="B759" s="225"/>
      <c r="C759" s="36" t="s">
        <v>282</v>
      </c>
      <c r="D759" s="47" t="s">
        <v>96</v>
      </c>
      <c r="E759" s="37">
        <v>1.0955999999999999</v>
      </c>
      <c r="F759" s="34">
        <v>21.849999999999998</v>
      </c>
      <c r="G759" s="31">
        <f t="shared" si="13"/>
        <v>23.938859999999995</v>
      </c>
      <c r="H759" s="35"/>
      <c r="I759" s="31"/>
      <c r="J759" s="156">
        <v>0</v>
      </c>
    </row>
    <row r="760" spans="1:10" ht="26.25" hidden="1" thickBot="1" x14ac:dyDescent="0.3">
      <c r="A760" s="222"/>
      <c r="B760" s="225"/>
      <c r="C760" s="36" t="s">
        <v>283</v>
      </c>
      <c r="D760" s="47" t="s">
        <v>94</v>
      </c>
      <c r="E760" s="37">
        <v>3.8498999999999999</v>
      </c>
      <c r="F760" s="34">
        <v>5.4909999999999997</v>
      </c>
      <c r="G760" s="31">
        <f t="shared" si="13"/>
        <v>21.139800899999997</v>
      </c>
      <c r="H760" s="35"/>
      <c r="I760" s="31"/>
      <c r="J760" s="156">
        <v>0</v>
      </c>
    </row>
    <row r="761" spans="1:10" ht="26.25" hidden="1" thickBot="1" x14ac:dyDescent="0.3">
      <c r="A761" s="222"/>
      <c r="B761" s="225"/>
      <c r="C761" s="36" t="s">
        <v>284</v>
      </c>
      <c r="D761" s="47" t="s">
        <v>20</v>
      </c>
      <c r="E761" s="37">
        <v>1.3265</v>
      </c>
      <c r="F761" s="34">
        <v>2.0614999999999997</v>
      </c>
      <c r="G761" s="31">
        <f t="shared" si="13"/>
        <v>2.7345797499999995</v>
      </c>
      <c r="H761" s="35"/>
      <c r="I761" s="31"/>
      <c r="J761" s="156">
        <v>0</v>
      </c>
    </row>
    <row r="762" spans="1:10" ht="26.25" hidden="1" thickBot="1" x14ac:dyDescent="0.3">
      <c r="A762" s="222"/>
      <c r="B762" s="225"/>
      <c r="C762" s="36" t="s">
        <v>168</v>
      </c>
      <c r="D762" s="47" t="s">
        <v>20</v>
      </c>
      <c r="E762" s="37">
        <v>2.1911999999999998</v>
      </c>
      <c r="F762" s="34">
        <v>0.11399999999999999</v>
      </c>
      <c r="G762" s="31">
        <f t="shared" si="13"/>
        <v>0.24979679999999996</v>
      </c>
      <c r="H762" s="35"/>
      <c r="I762" s="31"/>
      <c r="J762" s="156">
        <v>0</v>
      </c>
    </row>
    <row r="763" spans="1:10" ht="26.25" hidden="1" thickBot="1" x14ac:dyDescent="0.3">
      <c r="A763" s="222"/>
      <c r="B763" s="225"/>
      <c r="C763" s="36" t="s">
        <v>285</v>
      </c>
      <c r="D763" s="47" t="s">
        <v>159</v>
      </c>
      <c r="E763" s="37">
        <v>1.32E-2</v>
      </c>
      <c r="F763" s="34">
        <v>13.3095</v>
      </c>
      <c r="G763" s="31">
        <f t="shared" si="13"/>
        <v>0.17568539999999999</v>
      </c>
      <c r="H763" s="35"/>
      <c r="I763" s="31"/>
      <c r="J763" s="156">
        <v>0</v>
      </c>
    </row>
    <row r="764" spans="1:10" ht="26.25" hidden="1" thickBot="1" x14ac:dyDescent="0.3">
      <c r="A764" s="222"/>
      <c r="B764" s="225"/>
      <c r="C764" s="36" t="s">
        <v>286</v>
      </c>
      <c r="D764" s="47" t="s">
        <v>159</v>
      </c>
      <c r="E764" s="37">
        <v>3.3300000000000003E-2</v>
      </c>
      <c r="F764" s="34">
        <v>22.818999999999999</v>
      </c>
      <c r="G764" s="31">
        <f t="shared" si="13"/>
        <v>0.75987270000000007</v>
      </c>
      <c r="H764" s="35"/>
      <c r="I764" s="31"/>
      <c r="J764" s="156">
        <v>0</v>
      </c>
    </row>
    <row r="765" spans="1:10" ht="15.75" hidden="1" thickBot="1" x14ac:dyDescent="0.3">
      <c r="A765" s="222"/>
      <c r="B765" s="225"/>
      <c r="C765" s="36" t="s">
        <v>27</v>
      </c>
      <c r="D765" s="47" t="s">
        <v>12</v>
      </c>
      <c r="E765" s="37">
        <v>0.49940000000000001</v>
      </c>
      <c r="F765" s="31">
        <v>16.852999999999998</v>
      </c>
      <c r="G765" s="31">
        <f t="shared" si="13"/>
        <v>8.4163881999999983</v>
      </c>
      <c r="H765" s="35"/>
      <c r="I765" s="31"/>
      <c r="J765" s="156">
        <v>0</v>
      </c>
    </row>
    <row r="766" spans="1:10" ht="15.75" hidden="1" thickBot="1" x14ac:dyDescent="0.3">
      <c r="A766" s="223"/>
      <c r="B766" s="226"/>
      <c r="C766" s="36"/>
      <c r="D766" s="36"/>
      <c r="E766" s="37"/>
      <c r="F766" s="31" t="s">
        <v>572</v>
      </c>
      <c r="G766" s="31" t="str">
        <f t="shared" si="13"/>
        <v/>
      </c>
      <c r="H766" s="35"/>
      <c r="I766" s="31"/>
      <c r="J766" s="156">
        <v>0</v>
      </c>
    </row>
    <row r="767" spans="1:10" ht="15.75" hidden="1" thickBot="1" x14ac:dyDescent="0.3">
      <c r="A767" s="221" t="s">
        <v>287</v>
      </c>
      <c r="B767" s="224" t="str">
        <f>INDEX(Orçamentária!A:B,MATCH(Composições!A767,Orçamentária!A:A,0),2)</f>
        <v>Forro de PVC em réguas de 100 x 6000mm, sem estrutura</v>
      </c>
      <c r="C767" s="41"/>
      <c r="D767" s="26" t="str">
        <f>TRIM(INDEX(Orçamentária!C:C,MATCH(Composições!A767,Orçamentária!A:A,0),1))</f>
        <v>m2</v>
      </c>
      <c r="E767" s="27"/>
      <c r="F767" s="42" t="s">
        <v>572</v>
      </c>
      <c r="G767" s="28" t="str">
        <f t="shared" si="13"/>
        <v/>
      </c>
      <c r="H767" s="29"/>
      <c r="I767" s="30"/>
      <c r="J767" s="156">
        <v>0</v>
      </c>
    </row>
    <row r="768" spans="1:10" ht="15.75" hidden="1" thickBot="1" x14ac:dyDescent="0.3">
      <c r="A768" s="222"/>
      <c r="B768" s="225"/>
      <c r="C768" s="32"/>
      <c r="D768" s="32"/>
      <c r="E768" s="33"/>
      <c r="F768" s="43" t="s">
        <v>572</v>
      </c>
      <c r="G768" s="31" t="str">
        <f t="shared" si="13"/>
        <v/>
      </c>
      <c r="H768" s="35"/>
      <c r="I768" s="31"/>
      <c r="J768" s="156">
        <v>0</v>
      </c>
    </row>
    <row r="769" spans="1:10" ht="26.25" hidden="1" thickBot="1" x14ac:dyDescent="0.3">
      <c r="A769" s="222"/>
      <c r="B769" s="225"/>
      <c r="C769" s="36" t="s">
        <v>282</v>
      </c>
      <c r="D769" s="47" t="s">
        <v>96</v>
      </c>
      <c r="E769" s="37">
        <v>1.0955999999999999</v>
      </c>
      <c r="F769" s="34">
        <v>21.849999999999998</v>
      </c>
      <c r="G769" s="31">
        <f t="shared" si="13"/>
        <v>23.938859999999995</v>
      </c>
      <c r="H769" s="39">
        <f>SUM(G769:G771)</f>
        <v>26.713236199999994</v>
      </c>
      <c r="I769" s="40"/>
      <c r="J769" s="156">
        <v>0</v>
      </c>
    </row>
    <row r="770" spans="1:10" ht="26.25" hidden="1" thickBot="1" x14ac:dyDescent="0.3">
      <c r="A770" s="222"/>
      <c r="B770" s="225"/>
      <c r="C770" s="36" t="s">
        <v>168</v>
      </c>
      <c r="D770" s="47" t="s">
        <v>20</v>
      </c>
      <c r="E770" s="37">
        <v>2.1911999999999998</v>
      </c>
      <c r="F770" s="34">
        <v>0.11399999999999999</v>
      </c>
      <c r="G770" s="34">
        <f t="shared" si="13"/>
        <v>0.24979679999999996</v>
      </c>
      <c r="H770" s="44"/>
      <c r="I770" s="40"/>
      <c r="J770" s="156">
        <v>0</v>
      </c>
    </row>
    <row r="771" spans="1:10" ht="15.75" hidden="1" thickBot="1" x14ac:dyDescent="0.3">
      <c r="A771" s="222"/>
      <c r="B771" s="225"/>
      <c r="C771" s="36" t="s">
        <v>27</v>
      </c>
      <c r="D771" s="47" t="s">
        <v>12</v>
      </c>
      <c r="E771" s="37">
        <f>ROUND(0.4994*0.3,4)</f>
        <v>0.14979999999999999</v>
      </c>
      <c r="F771" s="31">
        <v>16.852999999999998</v>
      </c>
      <c r="G771" s="34">
        <f t="shared" si="13"/>
        <v>2.5245793999999995</v>
      </c>
      <c r="H771" s="35"/>
      <c r="I771" s="31"/>
      <c r="J771" s="156">
        <v>0</v>
      </c>
    </row>
    <row r="772" spans="1:10" ht="15.75" hidden="1" thickBot="1" x14ac:dyDescent="0.3">
      <c r="A772" s="223"/>
      <c r="B772" s="226"/>
      <c r="C772" s="36"/>
      <c r="D772" s="36"/>
      <c r="E772" s="37"/>
      <c r="F772" s="31" t="s">
        <v>572</v>
      </c>
      <c r="G772" s="31" t="str">
        <f t="shared" si="13"/>
        <v/>
      </c>
      <c r="H772" s="35"/>
      <c r="I772" s="31"/>
      <c r="J772" s="156">
        <v>0</v>
      </c>
    </row>
    <row r="773" spans="1:10" ht="15.75" hidden="1" thickBot="1" x14ac:dyDescent="0.3">
      <c r="A773" s="221" t="s">
        <v>288</v>
      </c>
      <c r="B773" s="224" t="str">
        <f>INDEX(Orçamentária!A:B,MATCH(Composições!A773,Orçamentária!A:A,0),2)</f>
        <v>Forro de PVC modular em placas</v>
      </c>
      <c r="C773" s="41"/>
      <c r="D773" s="26" t="str">
        <f>TRIM(INDEX(Orçamentária!C:C,MATCH(Composições!A773,Orçamentária!A:A,0),1))</f>
        <v>m2</v>
      </c>
      <c r="E773" s="27"/>
      <c r="F773" s="42" t="s">
        <v>572</v>
      </c>
      <c r="G773" s="28" t="str">
        <f t="shared" si="13"/>
        <v/>
      </c>
      <c r="H773" s="29"/>
      <c r="I773" s="30"/>
      <c r="J773" s="156">
        <v>0</v>
      </c>
    </row>
    <row r="774" spans="1:10" ht="15.75" hidden="1" thickBot="1" x14ac:dyDescent="0.3">
      <c r="A774" s="227"/>
      <c r="B774" s="225"/>
      <c r="C774" s="32"/>
      <c r="D774" s="32"/>
      <c r="E774" s="33"/>
      <c r="F774" s="43" t="s">
        <v>572</v>
      </c>
      <c r="G774" s="31" t="str">
        <f t="shared" si="13"/>
        <v/>
      </c>
      <c r="H774" s="35"/>
      <c r="I774" s="31"/>
      <c r="J774" s="156">
        <v>0</v>
      </c>
    </row>
    <row r="775" spans="1:10" ht="26.25" hidden="1" thickBot="1" x14ac:dyDescent="0.3">
      <c r="A775" s="227"/>
      <c r="B775" s="225"/>
      <c r="C775" s="36" t="s">
        <v>281</v>
      </c>
      <c r="D775" s="47" t="s">
        <v>42</v>
      </c>
      <c r="E775" s="37">
        <v>4.2599999999999999E-2</v>
      </c>
      <c r="F775" s="34">
        <v>21.878499999999999</v>
      </c>
      <c r="G775" s="31">
        <f t="shared" si="13"/>
        <v>0.93202409999999991</v>
      </c>
      <c r="H775" s="39">
        <f>SUM(G775:G782)</f>
        <v>34.408147849999992</v>
      </c>
      <c r="I775" s="40"/>
      <c r="J775" s="156">
        <v>0</v>
      </c>
    </row>
    <row r="776" spans="1:10" ht="15.75" hidden="1" thickBot="1" x14ac:dyDescent="0.3">
      <c r="A776" s="227"/>
      <c r="B776" s="225"/>
      <c r="C776" s="36" t="s">
        <v>289</v>
      </c>
      <c r="D776" s="47" t="s">
        <v>96</v>
      </c>
      <c r="E776" s="37">
        <v>1.0955999999999999</v>
      </c>
      <c r="F776" s="34" t="s">
        <v>572</v>
      </c>
      <c r="G776" s="31" t="str">
        <f t="shared" si="13"/>
        <v/>
      </c>
      <c r="H776" s="35"/>
      <c r="I776" s="31"/>
      <c r="J776" s="156">
        <v>0</v>
      </c>
    </row>
    <row r="777" spans="1:10" ht="26.25" hidden="1" thickBot="1" x14ac:dyDescent="0.3">
      <c r="A777" s="227"/>
      <c r="B777" s="225"/>
      <c r="C777" s="36" t="s">
        <v>283</v>
      </c>
      <c r="D777" s="47" t="s">
        <v>94</v>
      </c>
      <c r="E777" s="37">
        <v>3.8498999999999999</v>
      </c>
      <c r="F777" s="34">
        <v>5.4909999999999997</v>
      </c>
      <c r="G777" s="31">
        <f t="shared" si="13"/>
        <v>21.139800899999997</v>
      </c>
      <c r="H777" s="35"/>
      <c r="I777" s="31"/>
      <c r="J777" s="156">
        <v>0</v>
      </c>
    </row>
    <row r="778" spans="1:10" ht="26.25" hidden="1" thickBot="1" x14ac:dyDescent="0.3">
      <c r="A778" s="227"/>
      <c r="B778" s="225"/>
      <c r="C778" s="36" t="s">
        <v>284</v>
      </c>
      <c r="D778" s="47" t="s">
        <v>20</v>
      </c>
      <c r="E778" s="37">
        <v>1.3265</v>
      </c>
      <c r="F778" s="34">
        <v>2.0614999999999997</v>
      </c>
      <c r="G778" s="31">
        <f t="shared" si="13"/>
        <v>2.7345797499999995</v>
      </c>
      <c r="H778" s="35"/>
      <c r="I778" s="31"/>
      <c r="J778" s="156">
        <v>0</v>
      </c>
    </row>
    <row r="779" spans="1:10" ht="26.25" hidden="1" thickBot="1" x14ac:dyDescent="0.3">
      <c r="A779" s="227"/>
      <c r="B779" s="225"/>
      <c r="C779" s="36" t="s">
        <v>168</v>
      </c>
      <c r="D779" s="47" t="s">
        <v>20</v>
      </c>
      <c r="E779" s="37">
        <v>2.1911999999999998</v>
      </c>
      <c r="F779" s="34">
        <v>0.11399999999999999</v>
      </c>
      <c r="G779" s="31">
        <f t="shared" si="13"/>
        <v>0.24979679999999996</v>
      </c>
      <c r="H779" s="35"/>
      <c r="I779" s="31"/>
      <c r="J779" s="156">
        <v>0</v>
      </c>
    </row>
    <row r="780" spans="1:10" ht="26.25" hidden="1" thickBot="1" x14ac:dyDescent="0.3">
      <c r="A780" s="227"/>
      <c r="B780" s="225"/>
      <c r="C780" s="36" t="s">
        <v>285</v>
      </c>
      <c r="D780" s="47" t="s">
        <v>159</v>
      </c>
      <c r="E780" s="37">
        <v>1.32E-2</v>
      </c>
      <c r="F780" s="34">
        <v>13.3095</v>
      </c>
      <c r="G780" s="31">
        <f t="shared" si="13"/>
        <v>0.17568539999999999</v>
      </c>
      <c r="H780" s="35"/>
      <c r="I780" s="31"/>
      <c r="J780" s="156">
        <v>0</v>
      </c>
    </row>
    <row r="781" spans="1:10" ht="26.25" hidden="1" thickBot="1" x14ac:dyDescent="0.3">
      <c r="A781" s="227"/>
      <c r="B781" s="225"/>
      <c r="C781" s="36" t="s">
        <v>286</v>
      </c>
      <c r="D781" s="47" t="s">
        <v>159</v>
      </c>
      <c r="E781" s="37">
        <v>3.3300000000000003E-2</v>
      </c>
      <c r="F781" s="34">
        <v>22.818999999999999</v>
      </c>
      <c r="G781" s="31">
        <f t="shared" si="13"/>
        <v>0.75987270000000007</v>
      </c>
      <c r="H781" s="35"/>
      <c r="I781" s="31"/>
      <c r="J781" s="156">
        <v>0</v>
      </c>
    </row>
    <row r="782" spans="1:10" ht="15.75" hidden="1" thickBot="1" x14ac:dyDescent="0.3">
      <c r="A782" s="227"/>
      <c r="B782" s="225"/>
      <c r="C782" s="36" t="s">
        <v>27</v>
      </c>
      <c r="D782" s="47" t="s">
        <v>12</v>
      </c>
      <c r="E782" s="37">
        <v>0.49940000000000001</v>
      </c>
      <c r="F782" s="31">
        <v>16.852999999999998</v>
      </c>
      <c r="G782" s="31">
        <f t="shared" si="13"/>
        <v>8.4163881999999983</v>
      </c>
      <c r="H782" s="35"/>
      <c r="I782" s="31"/>
      <c r="J782" s="156">
        <v>0</v>
      </c>
    </row>
    <row r="783" spans="1:10" ht="15.75" hidden="1" thickBot="1" x14ac:dyDescent="0.3">
      <c r="A783" s="228"/>
      <c r="B783" s="226"/>
      <c r="C783" s="36"/>
      <c r="D783" s="36"/>
      <c r="E783" s="37"/>
      <c r="F783" s="31" t="s">
        <v>572</v>
      </c>
      <c r="G783" s="31" t="str">
        <f t="shared" si="13"/>
        <v/>
      </c>
      <c r="H783" s="35"/>
      <c r="I783" s="31"/>
      <c r="J783" s="156">
        <v>0</v>
      </c>
    </row>
    <row r="784" spans="1:10" ht="15.75" hidden="1" thickBot="1" x14ac:dyDescent="0.3">
      <c r="A784" s="221" t="s">
        <v>290</v>
      </c>
      <c r="B784" s="224" t="str">
        <f>INDEX(Orçamentária!A:B,MATCH(Composições!A784,Orçamentária!A:A,0),2)</f>
        <v>Forro em chapas metálicas</v>
      </c>
      <c r="C784" s="41"/>
      <c r="D784" s="26" t="str">
        <f>TRIM(INDEX(Orçamentária!C:C,MATCH(Composições!A784,Orçamentária!A:A,0),1))</f>
        <v>m2</v>
      </c>
      <c r="E784" s="27"/>
      <c r="F784" s="42" t="s">
        <v>572</v>
      </c>
      <c r="G784" s="28" t="str">
        <f t="shared" si="13"/>
        <v/>
      </c>
      <c r="H784" s="29"/>
      <c r="I784" s="30"/>
      <c r="J784" s="156">
        <v>0</v>
      </c>
    </row>
    <row r="785" spans="1:10" ht="15.75" hidden="1" thickBot="1" x14ac:dyDescent="0.3">
      <c r="A785" s="227"/>
      <c r="B785" s="225"/>
      <c r="C785" s="32"/>
      <c r="D785" s="32"/>
      <c r="E785" s="33"/>
      <c r="F785" s="43" t="s">
        <v>572</v>
      </c>
      <c r="G785" s="31" t="str">
        <f t="shared" si="13"/>
        <v/>
      </c>
      <c r="H785" s="35"/>
      <c r="I785" s="31"/>
      <c r="J785" s="156">
        <v>0</v>
      </c>
    </row>
    <row r="786" spans="1:10" ht="15.75" hidden="1" thickBot="1" x14ac:dyDescent="0.3">
      <c r="A786" s="227"/>
      <c r="B786" s="225"/>
      <c r="C786" s="36" t="s">
        <v>52</v>
      </c>
      <c r="D786" s="47" t="s">
        <v>12</v>
      </c>
      <c r="E786" s="37">
        <v>0.5</v>
      </c>
      <c r="F786" s="34">
        <v>17.470500000000001</v>
      </c>
      <c r="G786" s="31">
        <f t="shared" si="13"/>
        <v>8.7352500000000006</v>
      </c>
      <c r="H786" s="39">
        <f>SUM(G786:G789)</f>
        <v>17.161749999999998</v>
      </c>
      <c r="I786" s="40"/>
      <c r="J786" s="156">
        <v>0</v>
      </c>
    </row>
    <row r="787" spans="1:10" ht="15.75" hidden="1" thickBot="1" x14ac:dyDescent="0.3">
      <c r="A787" s="227"/>
      <c r="B787" s="225"/>
      <c r="C787" s="36" t="s">
        <v>27</v>
      </c>
      <c r="D787" s="47" t="s">
        <v>12</v>
      </c>
      <c r="E787" s="37">
        <v>0.5</v>
      </c>
      <c r="F787" s="34">
        <v>16.852999999999998</v>
      </c>
      <c r="G787" s="31">
        <f t="shared" si="13"/>
        <v>8.426499999999999</v>
      </c>
      <c r="H787" s="35"/>
      <c r="I787" s="31"/>
      <c r="J787" s="156">
        <v>0</v>
      </c>
    </row>
    <row r="788" spans="1:10" ht="15.75" hidden="1" thickBot="1" x14ac:dyDescent="0.3">
      <c r="A788" s="227"/>
      <c r="B788" s="225"/>
      <c r="C788" s="38" t="s">
        <v>291</v>
      </c>
      <c r="D788" s="36" t="s">
        <v>96</v>
      </c>
      <c r="E788" s="37">
        <v>1</v>
      </c>
      <c r="F788" s="34" t="s">
        <v>572</v>
      </c>
      <c r="G788" s="31" t="str">
        <f t="shared" si="13"/>
        <v/>
      </c>
      <c r="H788" s="35"/>
      <c r="I788" s="31"/>
      <c r="J788" s="156">
        <v>0</v>
      </c>
    </row>
    <row r="789" spans="1:10" ht="15.75" hidden="1" thickBot="1" x14ac:dyDescent="0.3">
      <c r="A789" s="227"/>
      <c r="B789" s="225"/>
      <c r="C789" s="38" t="s">
        <v>292</v>
      </c>
      <c r="D789" s="36" t="s">
        <v>96</v>
      </c>
      <c r="E789" s="37">
        <v>1</v>
      </c>
      <c r="F789" s="34" t="s">
        <v>572</v>
      </c>
      <c r="G789" s="31" t="str">
        <f t="shared" ref="G789:G852" si="14">IF(ISNUMBER(F789),E789*F789,"")</f>
        <v/>
      </c>
      <c r="H789" s="35"/>
      <c r="I789" s="31"/>
      <c r="J789" s="156">
        <v>0</v>
      </c>
    </row>
    <row r="790" spans="1:10" ht="15.75" hidden="1" thickBot="1" x14ac:dyDescent="0.3">
      <c r="A790" s="228"/>
      <c r="B790" s="226"/>
      <c r="C790" s="36"/>
      <c r="D790" s="36"/>
      <c r="E790" s="37"/>
      <c r="F790" s="31" t="s">
        <v>572</v>
      </c>
      <c r="G790" s="31" t="str">
        <f t="shared" si="14"/>
        <v/>
      </c>
      <c r="H790" s="35"/>
      <c r="I790" s="31"/>
      <c r="J790" s="156">
        <v>0</v>
      </c>
    </row>
    <row r="791" spans="1:10" ht="15.75" hidden="1" thickBot="1" x14ac:dyDescent="0.3">
      <c r="A791" s="221" t="s">
        <v>293</v>
      </c>
      <c r="B791" s="224" t="str">
        <f>INDEX(Orçamentária!A:B,MATCH(Composições!A791,Orçamentária!A:A,0),2)</f>
        <v>Forro em gesso acartonado monolítico</v>
      </c>
      <c r="C791" s="41"/>
      <c r="D791" s="26" t="str">
        <f>TRIM(INDEX(Orçamentária!C:C,MATCH(Composições!A791,Orçamentária!A:A,0),1))</f>
        <v>m2</v>
      </c>
      <c r="E791" s="27"/>
      <c r="F791" s="42" t="s">
        <v>572</v>
      </c>
      <c r="G791" s="28" t="str">
        <f t="shared" si="14"/>
        <v/>
      </c>
      <c r="H791" s="29"/>
      <c r="I791" s="30"/>
      <c r="J791" s="156">
        <v>0</v>
      </c>
    </row>
    <row r="792" spans="1:10" ht="15.75" hidden="1" thickBot="1" x14ac:dyDescent="0.3">
      <c r="A792" s="222"/>
      <c r="B792" s="225"/>
      <c r="C792" s="32"/>
      <c r="D792" s="32"/>
      <c r="E792" s="33"/>
      <c r="F792" s="43" t="s">
        <v>572</v>
      </c>
      <c r="G792" s="31" t="str">
        <f t="shared" si="14"/>
        <v/>
      </c>
      <c r="H792" s="35"/>
      <c r="I792" s="31"/>
      <c r="J792" s="156">
        <v>0</v>
      </c>
    </row>
    <row r="793" spans="1:10" ht="26.25" hidden="1" thickBot="1" x14ac:dyDescent="0.3">
      <c r="A793" s="222"/>
      <c r="B793" s="225"/>
      <c r="C793" s="36" t="s">
        <v>281</v>
      </c>
      <c r="D793" s="47" t="s">
        <v>42</v>
      </c>
      <c r="E793" s="37">
        <v>4.2599999999999999E-2</v>
      </c>
      <c r="F793" s="34">
        <v>21.878499999999999</v>
      </c>
      <c r="G793" s="34">
        <f t="shared" si="14"/>
        <v>0.93202409999999991</v>
      </c>
      <c r="H793" s="39">
        <f>SUM(G793:G803)</f>
        <v>54.415992399999993</v>
      </c>
      <c r="I793" s="40"/>
      <c r="J793" s="156">
        <v>0</v>
      </c>
    </row>
    <row r="794" spans="1:10" ht="26.25" hidden="1" thickBot="1" x14ac:dyDescent="0.3">
      <c r="A794" s="222"/>
      <c r="B794" s="225"/>
      <c r="C794" s="36" t="s">
        <v>3788</v>
      </c>
      <c r="D794" s="47" t="s">
        <v>96</v>
      </c>
      <c r="E794" s="37">
        <v>1.0966</v>
      </c>
      <c r="F794" s="34">
        <v>11.865499999999999</v>
      </c>
      <c r="G794" s="34">
        <f t="shared" si="14"/>
        <v>13.011707299999999</v>
      </c>
      <c r="H794" s="45"/>
      <c r="I794" s="46"/>
      <c r="J794" s="156">
        <v>0</v>
      </c>
    </row>
    <row r="795" spans="1:10" ht="26.25" hidden="1" thickBot="1" x14ac:dyDescent="0.3">
      <c r="A795" s="222"/>
      <c r="B795" s="225"/>
      <c r="C795" s="36" t="s">
        <v>283</v>
      </c>
      <c r="D795" s="47" t="s">
        <v>94</v>
      </c>
      <c r="E795" s="37">
        <v>3.851</v>
      </c>
      <c r="F795" s="34">
        <v>5.4909999999999997</v>
      </c>
      <c r="G795" s="34">
        <f t="shared" si="14"/>
        <v>21.145840999999997</v>
      </c>
      <c r="H795" s="45"/>
      <c r="I795" s="46"/>
      <c r="J795" s="156">
        <v>0</v>
      </c>
    </row>
    <row r="796" spans="1:10" ht="26.25" hidden="1" thickBot="1" x14ac:dyDescent="0.3">
      <c r="A796" s="222"/>
      <c r="B796" s="225"/>
      <c r="C796" s="36" t="s">
        <v>284</v>
      </c>
      <c r="D796" s="47" t="s">
        <v>20</v>
      </c>
      <c r="E796" s="37">
        <v>1.3265</v>
      </c>
      <c r="F796" s="34">
        <v>2.0614999999999997</v>
      </c>
      <c r="G796" s="34">
        <f t="shared" si="14"/>
        <v>2.7345797499999995</v>
      </c>
      <c r="H796" s="45"/>
      <c r="I796" s="46"/>
      <c r="J796" s="156">
        <v>0</v>
      </c>
    </row>
    <row r="797" spans="1:10" ht="26.25" hidden="1" thickBot="1" x14ac:dyDescent="0.3">
      <c r="A797" s="222"/>
      <c r="B797" s="225"/>
      <c r="C797" s="36" t="s">
        <v>166</v>
      </c>
      <c r="D797" s="47" t="s">
        <v>94</v>
      </c>
      <c r="E797" s="37">
        <v>1.4395</v>
      </c>
      <c r="F797" s="34">
        <v>1.7575000000000001</v>
      </c>
      <c r="G797" s="34">
        <f t="shared" si="14"/>
        <v>2.5299212500000001</v>
      </c>
      <c r="H797" s="45"/>
      <c r="I797" s="46"/>
      <c r="J797" s="156">
        <v>0</v>
      </c>
    </row>
    <row r="798" spans="1:10" ht="39" hidden="1" thickBot="1" x14ac:dyDescent="0.3">
      <c r="A798" s="222"/>
      <c r="B798" s="225"/>
      <c r="C798" s="36" t="s">
        <v>3786</v>
      </c>
      <c r="D798" s="47" t="s">
        <v>42</v>
      </c>
      <c r="E798" s="37">
        <v>0.5202</v>
      </c>
      <c r="F798" s="34">
        <v>2.3559999999999999</v>
      </c>
      <c r="G798" s="34">
        <f t="shared" si="14"/>
        <v>1.2255912</v>
      </c>
      <c r="H798" s="45"/>
      <c r="I798" s="46"/>
      <c r="J798" s="156">
        <v>0</v>
      </c>
    </row>
    <row r="799" spans="1:10" ht="26.25" hidden="1" thickBot="1" x14ac:dyDescent="0.3">
      <c r="A799" s="222"/>
      <c r="B799" s="225"/>
      <c r="C799" s="36" t="s">
        <v>167</v>
      </c>
      <c r="D799" s="47" t="s">
        <v>20</v>
      </c>
      <c r="E799" s="37">
        <v>7.9740000000000002</v>
      </c>
      <c r="F799" s="34">
        <v>4.7500000000000001E-2</v>
      </c>
      <c r="G799" s="34">
        <f t="shared" si="14"/>
        <v>0.37876500000000002</v>
      </c>
      <c r="H799" s="45"/>
      <c r="I799" s="46"/>
      <c r="J799" s="156">
        <v>0</v>
      </c>
    </row>
    <row r="800" spans="1:10" ht="26.25" hidden="1" thickBot="1" x14ac:dyDescent="0.3">
      <c r="A800" s="222"/>
      <c r="B800" s="225"/>
      <c r="C800" s="36" t="s">
        <v>168</v>
      </c>
      <c r="D800" s="47" t="s">
        <v>20</v>
      </c>
      <c r="E800" s="37">
        <v>2.1911999999999998</v>
      </c>
      <c r="F800" s="34">
        <v>0.11399999999999999</v>
      </c>
      <c r="G800" s="34">
        <f t="shared" si="14"/>
        <v>0.24979679999999996</v>
      </c>
      <c r="H800" s="45"/>
      <c r="I800" s="46"/>
      <c r="J800" s="156">
        <v>0</v>
      </c>
    </row>
    <row r="801" spans="1:10" ht="26.25" hidden="1" thickBot="1" x14ac:dyDescent="0.3">
      <c r="A801" s="222"/>
      <c r="B801" s="225"/>
      <c r="C801" s="36" t="s">
        <v>285</v>
      </c>
      <c r="D801" s="47" t="s">
        <v>159</v>
      </c>
      <c r="E801" s="37">
        <v>1.32E-2</v>
      </c>
      <c r="F801" s="34">
        <v>13.3095</v>
      </c>
      <c r="G801" s="34">
        <f t="shared" si="14"/>
        <v>0.17568539999999999</v>
      </c>
      <c r="H801" s="45"/>
      <c r="I801" s="46"/>
      <c r="J801" s="156">
        <v>0</v>
      </c>
    </row>
    <row r="802" spans="1:10" ht="15.75" hidden="1" thickBot="1" x14ac:dyDescent="0.3">
      <c r="A802" s="222"/>
      <c r="B802" s="225"/>
      <c r="C802" s="36" t="s">
        <v>27</v>
      </c>
      <c r="D802" s="47" t="s">
        <v>12</v>
      </c>
      <c r="E802" s="37">
        <v>0.36280000000000001</v>
      </c>
      <c r="F802" s="31">
        <v>16.852999999999998</v>
      </c>
      <c r="G802" s="34">
        <f t="shared" si="14"/>
        <v>6.1142683999999994</v>
      </c>
      <c r="H802" s="45"/>
      <c r="I802" s="46"/>
      <c r="J802" s="156">
        <v>0</v>
      </c>
    </row>
    <row r="803" spans="1:10" ht="15.75" hidden="1" thickBot="1" x14ac:dyDescent="0.3">
      <c r="A803" s="222"/>
      <c r="B803" s="225"/>
      <c r="C803" s="36" t="s">
        <v>23</v>
      </c>
      <c r="D803" s="36" t="s">
        <v>12</v>
      </c>
      <c r="E803" s="37">
        <v>0.36280000000000001</v>
      </c>
      <c r="F803" s="31">
        <v>16.311500000000002</v>
      </c>
      <c r="G803" s="34">
        <f t="shared" si="14"/>
        <v>5.9178122000000011</v>
      </c>
      <c r="H803" s="45"/>
      <c r="I803" s="46"/>
      <c r="J803" s="156">
        <v>0</v>
      </c>
    </row>
    <row r="804" spans="1:10" ht="15.75" hidden="1" thickBot="1" x14ac:dyDescent="0.3">
      <c r="A804" s="223"/>
      <c r="B804" s="226"/>
      <c r="C804" s="36"/>
      <c r="D804" s="36"/>
      <c r="E804" s="37"/>
      <c r="F804" s="31" t="s">
        <v>572</v>
      </c>
      <c r="G804" s="31" t="str">
        <f t="shared" si="14"/>
        <v/>
      </c>
      <c r="H804" s="35"/>
      <c r="I804" s="31"/>
      <c r="J804" s="156">
        <v>0</v>
      </c>
    </row>
    <row r="805" spans="1:10" ht="15.75" hidden="1" thickBot="1" x14ac:dyDescent="0.3">
      <c r="A805" s="221" t="s">
        <v>294</v>
      </c>
      <c r="B805" s="224" t="str">
        <f>INDEX(Orçamentária!A:B,MATCH(Composições!A805,Orçamentária!A:A,0),2)</f>
        <v>Forro em gesso acartonado monolítico, sem estrutura</v>
      </c>
      <c r="C805" s="41"/>
      <c r="D805" s="26" t="str">
        <f>TRIM(INDEX(Orçamentária!C:C,MATCH(Composições!A805,Orçamentária!A:A,0),1))</f>
        <v>m2</v>
      </c>
      <c r="E805" s="27"/>
      <c r="F805" s="42" t="s">
        <v>572</v>
      </c>
      <c r="G805" s="28" t="str">
        <f t="shared" si="14"/>
        <v/>
      </c>
      <c r="H805" s="29"/>
      <c r="I805" s="30"/>
      <c r="J805" s="156">
        <v>0</v>
      </c>
    </row>
    <row r="806" spans="1:10" ht="15.75" hidden="1" thickBot="1" x14ac:dyDescent="0.3">
      <c r="A806" s="222"/>
      <c r="B806" s="225"/>
      <c r="C806" s="32"/>
      <c r="D806" s="32"/>
      <c r="E806" s="33"/>
      <c r="F806" s="43" t="s">
        <v>572</v>
      </c>
      <c r="G806" s="31" t="str">
        <f t="shared" si="14"/>
        <v/>
      </c>
      <c r="H806" s="35"/>
      <c r="I806" s="31"/>
      <c r="J806" s="156">
        <v>0</v>
      </c>
    </row>
    <row r="807" spans="1:10" ht="26.25" hidden="1" thickBot="1" x14ac:dyDescent="0.3">
      <c r="A807" s="222"/>
      <c r="B807" s="225"/>
      <c r="C807" s="36" t="s">
        <v>3788</v>
      </c>
      <c r="D807" s="47" t="s">
        <v>96</v>
      </c>
      <c r="E807" s="37">
        <v>1.0966</v>
      </c>
      <c r="F807" s="34">
        <v>11.865499999999999</v>
      </c>
      <c r="G807" s="34">
        <f t="shared" si="14"/>
        <v>13.011707299999999</v>
      </c>
      <c r="H807" s="39">
        <f>SUM(G807:G813)</f>
        <v>29.427862149999999</v>
      </c>
      <c r="I807" s="40"/>
      <c r="J807" s="156">
        <v>0</v>
      </c>
    </row>
    <row r="808" spans="1:10" ht="26.25" hidden="1" thickBot="1" x14ac:dyDescent="0.3">
      <c r="A808" s="222"/>
      <c r="B808" s="225"/>
      <c r="C808" s="36" t="s">
        <v>166</v>
      </c>
      <c r="D808" s="47" t="s">
        <v>94</v>
      </c>
      <c r="E808" s="37">
        <v>1.4395</v>
      </c>
      <c r="F808" s="34">
        <v>1.7575000000000001</v>
      </c>
      <c r="G808" s="34">
        <f t="shared" si="14"/>
        <v>2.5299212500000001</v>
      </c>
      <c r="H808" s="45"/>
      <c r="I808" s="46"/>
      <c r="J808" s="156">
        <v>0</v>
      </c>
    </row>
    <row r="809" spans="1:10" ht="39" hidden="1" thickBot="1" x14ac:dyDescent="0.3">
      <c r="A809" s="222"/>
      <c r="B809" s="225"/>
      <c r="C809" s="36" t="s">
        <v>3786</v>
      </c>
      <c r="D809" s="47" t="s">
        <v>42</v>
      </c>
      <c r="E809" s="37">
        <v>0.5202</v>
      </c>
      <c r="F809" s="34">
        <v>2.3559999999999999</v>
      </c>
      <c r="G809" s="34">
        <f t="shared" si="14"/>
        <v>1.2255912</v>
      </c>
      <c r="H809" s="45"/>
      <c r="I809" s="46"/>
      <c r="J809" s="156">
        <v>0</v>
      </c>
    </row>
    <row r="810" spans="1:10" ht="26.25" hidden="1" thickBot="1" x14ac:dyDescent="0.3">
      <c r="A810" s="222"/>
      <c r="B810" s="225"/>
      <c r="C810" s="36" t="s">
        <v>167</v>
      </c>
      <c r="D810" s="47" t="s">
        <v>20</v>
      </c>
      <c r="E810" s="37">
        <v>7.9740000000000002</v>
      </c>
      <c r="F810" s="34">
        <v>4.7500000000000001E-2</v>
      </c>
      <c r="G810" s="34">
        <f t="shared" si="14"/>
        <v>0.37876500000000002</v>
      </c>
      <c r="H810" s="45"/>
      <c r="I810" s="46"/>
      <c r="J810" s="156">
        <v>0</v>
      </c>
    </row>
    <row r="811" spans="1:10" ht="26.25" hidden="1" thickBot="1" x14ac:dyDescent="0.3">
      <c r="A811" s="222"/>
      <c r="B811" s="225"/>
      <c r="C811" s="36" t="s">
        <v>168</v>
      </c>
      <c r="D811" s="47" t="s">
        <v>20</v>
      </c>
      <c r="E811" s="37">
        <v>2.1911999999999998</v>
      </c>
      <c r="F811" s="34">
        <v>0.11399999999999999</v>
      </c>
      <c r="G811" s="34">
        <f t="shared" si="14"/>
        <v>0.24979679999999996</v>
      </c>
      <c r="H811" s="45"/>
      <c r="I811" s="46"/>
      <c r="J811" s="156">
        <v>0</v>
      </c>
    </row>
    <row r="812" spans="1:10" ht="15.75" hidden="1" thickBot="1" x14ac:dyDescent="0.3">
      <c r="A812" s="222"/>
      <c r="B812" s="225"/>
      <c r="C812" s="36" t="s">
        <v>27</v>
      </c>
      <c r="D812" s="47" t="s">
        <v>12</v>
      </c>
      <c r="E812" s="37">
        <v>0.36280000000000001</v>
      </c>
      <c r="F812" s="31">
        <v>16.852999999999998</v>
      </c>
      <c r="G812" s="34">
        <f t="shared" si="14"/>
        <v>6.1142683999999994</v>
      </c>
      <c r="H812" s="45"/>
      <c r="I812" s="46"/>
      <c r="J812" s="156">
        <v>0</v>
      </c>
    </row>
    <row r="813" spans="1:10" ht="15.75" hidden="1" thickBot="1" x14ac:dyDescent="0.3">
      <c r="A813" s="222"/>
      <c r="B813" s="225"/>
      <c r="C813" s="36" t="s">
        <v>23</v>
      </c>
      <c r="D813" s="36" t="s">
        <v>12</v>
      </c>
      <c r="E813" s="37">
        <v>0.36280000000000001</v>
      </c>
      <c r="F813" s="31">
        <v>16.311500000000002</v>
      </c>
      <c r="G813" s="34">
        <f t="shared" si="14"/>
        <v>5.9178122000000011</v>
      </c>
      <c r="H813" s="45"/>
      <c r="I813" s="46"/>
      <c r="J813" s="156">
        <v>0</v>
      </c>
    </row>
    <row r="814" spans="1:10" ht="15.75" hidden="1" thickBot="1" x14ac:dyDescent="0.3">
      <c r="A814" s="223"/>
      <c r="B814" s="226"/>
      <c r="C814" s="36"/>
      <c r="D814" s="36"/>
      <c r="E814" s="37"/>
      <c r="F814" s="31" t="s">
        <v>572</v>
      </c>
      <c r="G814" s="31" t="str">
        <f t="shared" si="14"/>
        <v/>
      </c>
      <c r="H814" s="35"/>
      <c r="I814" s="31"/>
      <c r="J814" s="156">
        <v>0</v>
      </c>
    </row>
    <row r="815" spans="1:10" ht="15.75" hidden="1" thickBot="1" x14ac:dyDescent="0.3">
      <c r="A815" s="221" t="s">
        <v>295</v>
      </c>
      <c r="B815" s="224" t="str">
        <f>INDEX(Orçamentária!A:B,MATCH(Composições!A815,Orçamentária!A:A,0),2)</f>
        <v>Forro mineral modulado</v>
      </c>
      <c r="C815" s="41"/>
      <c r="D815" s="26" t="str">
        <f>TRIM(INDEX(Orçamentária!C:C,MATCH(Composições!A815,Orçamentária!A:A,0),1))</f>
        <v>m2</v>
      </c>
      <c r="E815" s="27"/>
      <c r="F815" s="42" t="s">
        <v>572</v>
      </c>
      <c r="G815" s="28" t="str">
        <f t="shared" si="14"/>
        <v/>
      </c>
      <c r="H815" s="29"/>
      <c r="I815" s="30"/>
      <c r="J815" s="156">
        <v>0</v>
      </c>
    </row>
    <row r="816" spans="1:10" ht="15.75" hidden="1" thickBot="1" x14ac:dyDescent="0.3">
      <c r="A816" s="222"/>
      <c r="B816" s="225"/>
      <c r="C816" s="32"/>
      <c r="D816" s="32"/>
      <c r="E816" s="33"/>
      <c r="F816" s="43" t="s">
        <v>572</v>
      </c>
      <c r="G816" s="31" t="str">
        <f t="shared" si="14"/>
        <v/>
      </c>
      <c r="H816" s="35"/>
      <c r="I816" s="31"/>
      <c r="J816" s="156">
        <v>0</v>
      </c>
    </row>
    <row r="817" spans="1:10" ht="39" hidden="1" thickBot="1" x14ac:dyDescent="0.3">
      <c r="A817" s="222"/>
      <c r="B817" s="225"/>
      <c r="C817" s="36" t="s">
        <v>296</v>
      </c>
      <c r="D817" s="47" t="s">
        <v>96</v>
      </c>
      <c r="E817" s="37">
        <v>1</v>
      </c>
      <c r="F817" s="34">
        <v>114.9785</v>
      </c>
      <c r="G817" s="34">
        <f t="shared" si="14"/>
        <v>114.9785</v>
      </c>
      <c r="H817" s="39">
        <f>SUM(G817:G817)</f>
        <v>114.9785</v>
      </c>
      <c r="I817" s="40"/>
      <c r="J817" s="156">
        <v>0</v>
      </c>
    </row>
    <row r="818" spans="1:10" ht="15.75" hidden="1" thickBot="1" x14ac:dyDescent="0.3">
      <c r="A818" s="223"/>
      <c r="B818" s="226"/>
      <c r="C818" s="36"/>
      <c r="D818" s="36"/>
      <c r="E818" s="37"/>
      <c r="F818" s="31" t="s">
        <v>572</v>
      </c>
      <c r="G818" s="31" t="str">
        <f t="shared" si="14"/>
        <v/>
      </c>
      <c r="H818" s="35"/>
      <c r="I818" s="31"/>
      <c r="J818" s="156">
        <v>0</v>
      </c>
    </row>
    <row r="819" spans="1:10" ht="15.75" hidden="1" thickBot="1" x14ac:dyDescent="0.3">
      <c r="A819" s="221" t="s">
        <v>297</v>
      </c>
      <c r="B819" s="224" t="str">
        <f>INDEX(Orçamentária!A:B,MATCH(Composições!A819,Orçamentária!A:A,0),2)</f>
        <v>Forro mineral modulado, sem estrutura</v>
      </c>
      <c r="C819" s="41"/>
      <c r="D819" s="26" t="str">
        <f>TRIM(INDEX(Orçamentária!C:C,MATCH(Composições!A819,Orçamentária!A:A,0),1))</f>
        <v>m2</v>
      </c>
      <c r="E819" s="27"/>
      <c r="F819" s="42" t="s">
        <v>572</v>
      </c>
      <c r="G819" s="28" t="str">
        <f t="shared" si="14"/>
        <v/>
      </c>
      <c r="H819" s="29"/>
      <c r="I819" s="30"/>
      <c r="J819" s="156">
        <v>0</v>
      </c>
    </row>
    <row r="820" spans="1:10" ht="15.75" hidden="1" thickBot="1" x14ac:dyDescent="0.3">
      <c r="A820" s="222"/>
      <c r="B820" s="225"/>
      <c r="C820" s="32"/>
      <c r="D820" s="32"/>
      <c r="E820" s="33"/>
      <c r="F820" s="43" t="s">
        <v>572</v>
      </c>
      <c r="G820" s="31" t="str">
        <f t="shared" si="14"/>
        <v/>
      </c>
      <c r="H820" s="35"/>
      <c r="I820" s="31"/>
      <c r="J820" s="156">
        <v>0</v>
      </c>
    </row>
    <row r="821" spans="1:10" ht="15.75" hidden="1" thickBot="1" x14ac:dyDescent="0.3">
      <c r="A821" s="222"/>
      <c r="B821" s="225"/>
      <c r="C821" s="36" t="s">
        <v>50</v>
      </c>
      <c r="D821" s="36" t="s">
        <v>12</v>
      </c>
      <c r="E821" s="37">
        <f>1.2/4</f>
        <v>0.3</v>
      </c>
      <c r="F821" s="31">
        <v>19.3705</v>
      </c>
      <c r="G821" s="31">
        <f t="shared" si="14"/>
        <v>5.8111499999999996</v>
      </c>
      <c r="H821" s="39">
        <f>SUM(G821:G822)</f>
        <v>31.42315</v>
      </c>
      <c r="I821" s="40"/>
      <c r="J821" s="156">
        <v>0</v>
      </c>
    </row>
    <row r="822" spans="1:10" ht="26.25" hidden="1" thickBot="1" x14ac:dyDescent="0.3">
      <c r="A822" s="222"/>
      <c r="B822" s="225"/>
      <c r="C822" s="36" t="s">
        <v>298</v>
      </c>
      <c r="D822" s="36" t="s">
        <v>299</v>
      </c>
      <c r="E822" s="37">
        <v>1</v>
      </c>
      <c r="F822" s="34">
        <v>25.611999999999998</v>
      </c>
      <c r="G822" s="31">
        <f t="shared" si="14"/>
        <v>25.611999999999998</v>
      </c>
      <c r="H822" s="35"/>
      <c r="I822" s="31"/>
      <c r="J822" s="156">
        <v>0</v>
      </c>
    </row>
    <row r="823" spans="1:10" ht="15.75" hidden="1" thickBot="1" x14ac:dyDescent="0.3">
      <c r="A823" s="223"/>
      <c r="B823" s="226"/>
      <c r="C823" s="36"/>
      <c r="D823" s="36"/>
      <c r="E823" s="37"/>
      <c r="F823" s="31" t="s">
        <v>572</v>
      </c>
      <c r="G823" s="31" t="str">
        <f t="shared" si="14"/>
        <v/>
      </c>
      <c r="H823" s="35"/>
      <c r="I823" s="31"/>
      <c r="J823" s="156">
        <v>0</v>
      </c>
    </row>
    <row r="824" spans="1:10" ht="15.75" hidden="1" thickBot="1" x14ac:dyDescent="0.3">
      <c r="A824" s="221" t="s">
        <v>300</v>
      </c>
      <c r="B824" s="224" t="str">
        <f>INDEX(Orçamentária!A:B,MATCH(Composições!A824,Orçamentária!A:A,0),2)</f>
        <v>Instalação de forro de PVC reaproveitado</v>
      </c>
      <c r="C824" s="41"/>
      <c r="D824" s="26" t="str">
        <f>TRIM(INDEX(Orçamentária!C:C,MATCH(Composições!A824,Orçamentária!A:A,0),1))</f>
        <v>m2</v>
      </c>
      <c r="E824" s="27"/>
      <c r="F824" s="42" t="s">
        <v>572</v>
      </c>
      <c r="G824" s="28" t="str">
        <f t="shared" si="14"/>
        <v/>
      </c>
      <c r="H824" s="29"/>
      <c r="I824" s="30"/>
      <c r="J824" s="156">
        <v>0</v>
      </c>
    </row>
    <row r="825" spans="1:10" ht="15.75" hidden="1" thickBot="1" x14ac:dyDescent="0.3">
      <c r="A825" s="222"/>
      <c r="B825" s="225"/>
      <c r="C825" s="32"/>
      <c r="D825" s="32"/>
      <c r="E825" s="33"/>
      <c r="F825" s="43" t="s">
        <v>572</v>
      </c>
      <c r="G825" s="31" t="str">
        <f t="shared" si="14"/>
        <v/>
      </c>
      <c r="H825" s="35"/>
      <c r="I825" s="31"/>
      <c r="J825" s="156">
        <v>0</v>
      </c>
    </row>
    <row r="826" spans="1:10" ht="15.75" hidden="1" thickBot="1" x14ac:dyDescent="0.3">
      <c r="A826" s="222"/>
      <c r="B826" s="225"/>
      <c r="C826" s="36" t="s">
        <v>27</v>
      </c>
      <c r="D826" s="47" t="s">
        <v>12</v>
      </c>
      <c r="E826" s="37">
        <f>ROUND(0.4994*0.3,4)</f>
        <v>0.14979999999999999</v>
      </c>
      <c r="F826" s="31">
        <v>16.852999999999998</v>
      </c>
      <c r="G826" s="31">
        <f t="shared" si="14"/>
        <v>2.5245793999999995</v>
      </c>
      <c r="H826" s="39">
        <f>SUM(G826:G826)</f>
        <v>2.5245793999999995</v>
      </c>
      <c r="I826" s="40"/>
      <c r="J826" s="156">
        <v>0</v>
      </c>
    </row>
    <row r="827" spans="1:10" ht="15.75" hidden="1" thickBot="1" x14ac:dyDescent="0.3">
      <c r="A827" s="223"/>
      <c r="B827" s="226"/>
      <c r="C827" s="36"/>
      <c r="D827" s="36"/>
      <c r="E827" s="37"/>
      <c r="F827" s="31" t="s">
        <v>572</v>
      </c>
      <c r="G827" s="31" t="str">
        <f t="shared" si="14"/>
        <v/>
      </c>
      <c r="H827" s="35"/>
      <c r="I827" s="31"/>
      <c r="J827" s="156">
        <v>0</v>
      </c>
    </row>
    <row r="828" spans="1:10" ht="15.75" hidden="1" thickBot="1" x14ac:dyDescent="0.3">
      <c r="A828" s="221" t="s">
        <v>301</v>
      </c>
      <c r="B828" s="224" t="str">
        <f>INDEX(Orçamentária!A:B,MATCH(Composições!A828,Orçamentária!A:A,0),2)</f>
        <v>Instalação de forro mineral reaproveitado</v>
      </c>
      <c r="C828" s="41"/>
      <c r="D828" s="26" t="str">
        <f>TRIM(INDEX(Orçamentária!C:C,MATCH(Composições!A828,Orçamentária!A:A,0),1))</f>
        <v>m2</v>
      </c>
      <c r="E828" s="27"/>
      <c r="F828" s="42" t="s">
        <v>572</v>
      </c>
      <c r="G828" s="28" t="str">
        <f t="shared" si="14"/>
        <v/>
      </c>
      <c r="H828" s="29"/>
      <c r="I828" s="30"/>
      <c r="J828" s="156">
        <v>0</v>
      </c>
    </row>
    <row r="829" spans="1:10" ht="15.75" hidden="1" thickBot="1" x14ac:dyDescent="0.3">
      <c r="A829" s="222"/>
      <c r="B829" s="225"/>
      <c r="C829" s="32"/>
      <c r="D829" s="32"/>
      <c r="E829" s="33"/>
      <c r="F829" s="43" t="s">
        <v>572</v>
      </c>
      <c r="G829" s="31" t="str">
        <f t="shared" si="14"/>
        <v/>
      </c>
      <c r="H829" s="35"/>
      <c r="I829" s="31"/>
      <c r="J829" s="156">
        <v>0</v>
      </c>
    </row>
    <row r="830" spans="1:10" ht="15.75" hidden="1" thickBot="1" x14ac:dyDescent="0.3">
      <c r="A830" s="222"/>
      <c r="B830" s="225"/>
      <c r="C830" s="36" t="s">
        <v>50</v>
      </c>
      <c r="D830" s="47" t="s">
        <v>12</v>
      </c>
      <c r="E830" s="37">
        <v>1.2</v>
      </c>
      <c r="F830" s="31">
        <v>19.3705</v>
      </c>
      <c r="G830" s="31">
        <f t="shared" si="14"/>
        <v>23.244599999999998</v>
      </c>
      <c r="H830" s="39">
        <f>SUM(G830:G831)</f>
        <v>43.468199999999996</v>
      </c>
      <c r="I830" s="40"/>
      <c r="J830" s="156">
        <v>0</v>
      </c>
    </row>
    <row r="831" spans="1:10" ht="15.75" hidden="1" thickBot="1" x14ac:dyDescent="0.3">
      <c r="A831" s="222"/>
      <c r="B831" s="225"/>
      <c r="C831" s="36" t="s">
        <v>27</v>
      </c>
      <c r="D831" s="47" t="s">
        <v>12</v>
      </c>
      <c r="E831" s="37">
        <v>1.2</v>
      </c>
      <c r="F831" s="31">
        <v>16.852999999999998</v>
      </c>
      <c r="G831" s="31">
        <f t="shared" si="14"/>
        <v>20.223599999999998</v>
      </c>
      <c r="H831" s="35"/>
      <c r="I831" s="31"/>
      <c r="J831" s="156">
        <v>0</v>
      </c>
    </row>
    <row r="832" spans="1:10" ht="15.75" hidden="1" thickBot="1" x14ac:dyDescent="0.3">
      <c r="A832" s="223"/>
      <c r="B832" s="226"/>
      <c r="C832" s="36"/>
      <c r="D832" s="36"/>
      <c r="E832" s="37"/>
      <c r="F832" s="31" t="s">
        <v>572</v>
      </c>
      <c r="G832" s="31" t="str">
        <f t="shared" si="14"/>
        <v/>
      </c>
      <c r="H832" s="35"/>
      <c r="I832" s="31"/>
      <c r="J832" s="156">
        <v>0</v>
      </c>
    </row>
    <row r="833" spans="1:10" ht="15.75" hidden="1" thickBot="1" x14ac:dyDescent="0.3">
      <c r="A833" s="221" t="s">
        <v>302</v>
      </c>
      <c r="B833" s="224" t="str">
        <f>INDEX(Orçamentária!A:B,MATCH(Composições!A833,Orçamentária!A:A,0),2)</f>
        <v>Tabica metálica em forro de gesso acartonado</v>
      </c>
      <c r="C833" s="41"/>
      <c r="D833" s="26" t="str">
        <f>TRIM(INDEX(Orçamentária!C:C,MATCH(Composições!A833,Orçamentária!A:A,0),1))</f>
        <v>m</v>
      </c>
      <c r="E833" s="27"/>
      <c r="F833" s="42" t="s">
        <v>572</v>
      </c>
      <c r="G833" s="28" t="str">
        <f t="shared" si="14"/>
        <v/>
      </c>
      <c r="H833" s="29"/>
      <c r="I833" s="30"/>
      <c r="J833" s="156">
        <v>0</v>
      </c>
    </row>
    <row r="834" spans="1:10" ht="15.75" hidden="1" thickBot="1" x14ac:dyDescent="0.3">
      <c r="A834" s="222"/>
      <c r="B834" s="225"/>
      <c r="C834" s="32"/>
      <c r="D834" s="32"/>
      <c r="E834" s="33"/>
      <c r="F834" s="43" t="s">
        <v>572</v>
      </c>
      <c r="G834" s="31" t="str">
        <f t="shared" si="14"/>
        <v/>
      </c>
      <c r="H834" s="35"/>
      <c r="I834" s="31"/>
      <c r="J834" s="156">
        <v>0</v>
      </c>
    </row>
    <row r="835" spans="1:10" ht="26.25" hidden="1" thickBot="1" x14ac:dyDescent="0.3">
      <c r="A835" s="222"/>
      <c r="B835" s="225"/>
      <c r="C835" s="36" t="s">
        <v>303</v>
      </c>
      <c r="D835" s="36" t="s">
        <v>94</v>
      </c>
      <c r="E835" s="37">
        <v>1.1512</v>
      </c>
      <c r="F835" s="34">
        <v>5.3199999999999994</v>
      </c>
      <c r="G835" s="34">
        <f t="shared" si="14"/>
        <v>6.1243839999999992</v>
      </c>
      <c r="H835" s="39">
        <f>SUM(G835:G838)</f>
        <v>10.374043699999998</v>
      </c>
      <c r="I835" s="40"/>
      <c r="J835" s="156">
        <v>0</v>
      </c>
    </row>
    <row r="836" spans="1:10" ht="26.25" hidden="1" thickBot="1" x14ac:dyDescent="0.3">
      <c r="A836" s="222"/>
      <c r="B836" s="225"/>
      <c r="C836" s="36" t="s">
        <v>168</v>
      </c>
      <c r="D836" s="36" t="s">
        <v>20</v>
      </c>
      <c r="E836" s="37">
        <v>0.58330000000000004</v>
      </c>
      <c r="F836" s="34">
        <v>0.11399999999999999</v>
      </c>
      <c r="G836" s="34">
        <f t="shared" si="14"/>
        <v>6.6496200000000005E-2</v>
      </c>
      <c r="H836" s="56"/>
      <c r="I836" s="57"/>
      <c r="J836" s="156">
        <v>0</v>
      </c>
    </row>
    <row r="837" spans="1:10" ht="26.25" hidden="1" thickBot="1" x14ac:dyDescent="0.3">
      <c r="A837" s="222"/>
      <c r="B837" s="225"/>
      <c r="C837" s="36" t="s">
        <v>286</v>
      </c>
      <c r="D837" s="36" t="s">
        <v>159</v>
      </c>
      <c r="E837" s="37">
        <v>7.4899999999999994E-2</v>
      </c>
      <c r="F837" s="34">
        <v>22.818999999999999</v>
      </c>
      <c r="G837" s="34">
        <f t="shared" si="14"/>
        <v>1.7091430999999997</v>
      </c>
      <c r="H837" s="56"/>
      <c r="I837" s="57"/>
      <c r="J837" s="156">
        <v>0</v>
      </c>
    </row>
    <row r="838" spans="1:10" ht="15.75" hidden="1" thickBot="1" x14ac:dyDescent="0.3">
      <c r="A838" s="222"/>
      <c r="B838" s="225"/>
      <c r="C838" s="36" t="s">
        <v>27</v>
      </c>
      <c r="D838" s="36" t="s">
        <v>12</v>
      </c>
      <c r="E838" s="37">
        <v>0.14680000000000001</v>
      </c>
      <c r="F838" s="31">
        <v>16.852999999999998</v>
      </c>
      <c r="G838" s="34">
        <f t="shared" si="14"/>
        <v>2.4740204000000001</v>
      </c>
      <c r="H838" s="56"/>
      <c r="I838" s="57"/>
      <c r="J838" s="156">
        <v>0</v>
      </c>
    </row>
    <row r="839" spans="1:10" ht="15.75" hidden="1" thickBot="1" x14ac:dyDescent="0.3">
      <c r="A839" s="223"/>
      <c r="B839" s="226"/>
      <c r="C839" s="36"/>
      <c r="D839" s="36"/>
      <c r="E839" s="37"/>
      <c r="F839" s="31" t="s">
        <v>572</v>
      </c>
      <c r="G839" s="34" t="str">
        <f t="shared" si="14"/>
        <v/>
      </c>
      <c r="H839" s="35"/>
      <c r="I839" s="31"/>
      <c r="J839" s="156">
        <v>0</v>
      </c>
    </row>
    <row r="840" spans="1:10" ht="15.75" hidden="1" thickBot="1" x14ac:dyDescent="0.3">
      <c r="A840" s="221" t="s">
        <v>304</v>
      </c>
      <c r="B840" s="224" t="str">
        <f>INDEX(Orçamentária!A:B,MATCH(Composições!A840,Orçamentária!A:A,0),2)</f>
        <v>Instalação de revestimento de piso têxtil (carpete) reaproveitado</v>
      </c>
      <c r="C840" s="41"/>
      <c r="D840" s="26" t="str">
        <f>TRIM(INDEX(Orçamentária!C:C,MATCH(Composições!A840,Orçamentária!A:A,0),1))</f>
        <v>m2</v>
      </c>
      <c r="E840" s="27"/>
      <c r="F840" s="42" t="s">
        <v>572</v>
      </c>
      <c r="G840" s="28" t="str">
        <f t="shared" si="14"/>
        <v/>
      </c>
      <c r="H840" s="29"/>
      <c r="I840" s="30"/>
      <c r="J840" s="156">
        <v>0</v>
      </c>
    </row>
    <row r="841" spans="1:10" ht="15.75" hidden="1" thickBot="1" x14ac:dyDescent="0.3">
      <c r="A841" s="222"/>
      <c r="B841" s="225"/>
      <c r="C841" s="32"/>
      <c r="D841" s="32"/>
      <c r="E841" s="33"/>
      <c r="F841" s="43" t="s">
        <v>572</v>
      </c>
      <c r="G841" s="31" t="str">
        <f t="shared" si="14"/>
        <v/>
      </c>
      <c r="H841" s="35"/>
      <c r="I841" s="31"/>
      <c r="J841" s="156">
        <v>0</v>
      </c>
    </row>
    <row r="842" spans="1:10" ht="15.75" hidden="1" thickBot="1" x14ac:dyDescent="0.3">
      <c r="A842" s="222"/>
      <c r="B842" s="225"/>
      <c r="C842" s="36" t="s">
        <v>23</v>
      </c>
      <c r="D842" s="36" t="s">
        <v>12</v>
      </c>
      <c r="E842" s="37">
        <v>0.1</v>
      </c>
      <c r="F842" s="31">
        <v>16.311500000000002</v>
      </c>
      <c r="G842" s="34">
        <f t="shared" si="14"/>
        <v>1.6311500000000003</v>
      </c>
      <c r="H842" s="39">
        <f>SUM(G842:G844)</f>
        <v>6.3878000000000004</v>
      </c>
      <c r="I842" s="40"/>
      <c r="J842" s="156">
        <v>0</v>
      </c>
    </row>
    <row r="843" spans="1:10" ht="15.75" hidden="1" thickBot="1" x14ac:dyDescent="0.3">
      <c r="A843" s="222"/>
      <c r="B843" s="225"/>
      <c r="C843" s="36" t="s">
        <v>22</v>
      </c>
      <c r="D843" s="36" t="s">
        <v>12</v>
      </c>
      <c r="E843" s="37">
        <v>0.1</v>
      </c>
      <c r="F843" s="31">
        <v>22.087499999999999</v>
      </c>
      <c r="G843" s="34">
        <f t="shared" si="14"/>
        <v>2.2087499999999998</v>
      </c>
      <c r="H843" s="35"/>
      <c r="I843" s="31"/>
      <c r="J843" s="156">
        <v>0</v>
      </c>
    </row>
    <row r="844" spans="1:10" ht="15.75" hidden="1" thickBot="1" x14ac:dyDescent="0.3">
      <c r="A844" s="222"/>
      <c r="B844" s="225"/>
      <c r="C844" s="36" t="s">
        <v>305</v>
      </c>
      <c r="D844" s="36" t="s">
        <v>42</v>
      </c>
      <c r="E844" s="37">
        <v>0.1</v>
      </c>
      <c r="F844" s="34">
        <v>25.478999999999999</v>
      </c>
      <c r="G844" s="31">
        <f t="shared" si="14"/>
        <v>2.5479000000000003</v>
      </c>
      <c r="H844" s="35"/>
      <c r="I844" s="31"/>
      <c r="J844" s="156">
        <v>0</v>
      </c>
    </row>
    <row r="845" spans="1:10" ht="15.75" hidden="1" thickBot="1" x14ac:dyDescent="0.3">
      <c r="A845" s="223"/>
      <c r="B845" s="226"/>
      <c r="C845" s="36"/>
      <c r="D845" s="36"/>
      <c r="E845" s="37"/>
      <c r="F845" s="31" t="s">
        <v>572</v>
      </c>
      <c r="G845" s="31" t="str">
        <f t="shared" si="14"/>
        <v/>
      </c>
      <c r="H845" s="35"/>
      <c r="I845" s="31"/>
      <c r="J845" s="156">
        <v>0</v>
      </c>
    </row>
    <row r="846" spans="1:10" ht="15.75" hidden="1" thickBot="1" x14ac:dyDescent="0.3">
      <c r="A846" s="221" t="s">
        <v>306</v>
      </c>
      <c r="B846" s="224" t="str">
        <f>INDEX(Orçamentária!A:B,MATCH(Composições!A846,Orçamentária!A:A,0),2)</f>
        <v>Baguetes metálicos</v>
      </c>
      <c r="C846" s="41"/>
      <c r="D846" s="26" t="str">
        <f>TRIM(INDEX(Orçamentária!C:C,MATCH(Composições!A846,Orçamentária!A:A,0),1))</f>
        <v>m</v>
      </c>
      <c r="E846" s="27"/>
      <c r="F846" s="42" t="s">
        <v>572</v>
      </c>
      <c r="G846" s="28" t="str">
        <f t="shared" si="14"/>
        <v/>
      </c>
      <c r="H846" s="29"/>
      <c r="I846" s="30"/>
      <c r="J846" s="156">
        <v>0</v>
      </c>
    </row>
    <row r="847" spans="1:10" ht="15.75" hidden="1" thickBot="1" x14ac:dyDescent="0.3">
      <c r="A847" s="227"/>
      <c r="B847" s="225"/>
      <c r="C847" s="32"/>
      <c r="D847" s="32"/>
      <c r="E847" s="33"/>
      <c r="F847" s="43" t="s">
        <v>572</v>
      </c>
      <c r="G847" s="31" t="str">
        <f t="shared" si="14"/>
        <v/>
      </c>
      <c r="H847" s="35"/>
      <c r="I847" s="31"/>
      <c r="J847" s="156">
        <v>0</v>
      </c>
    </row>
    <row r="848" spans="1:10" ht="15.75" hidden="1" thickBot="1" x14ac:dyDescent="0.3">
      <c r="A848" s="227"/>
      <c r="B848" s="225"/>
      <c r="C848" s="36" t="s">
        <v>68</v>
      </c>
      <c r="D848" s="47" t="s">
        <v>12</v>
      </c>
      <c r="E848" s="37">
        <v>0.25</v>
      </c>
      <c r="F848" s="31">
        <v>20.539000000000001</v>
      </c>
      <c r="G848" s="34">
        <f t="shared" si="14"/>
        <v>5.1347500000000004</v>
      </c>
      <c r="H848" s="39">
        <f>SUM(G848:G849)</f>
        <v>5.1347500000000004</v>
      </c>
      <c r="I848" s="40"/>
      <c r="J848" s="156">
        <v>0</v>
      </c>
    </row>
    <row r="849" spans="1:10" ht="15.75" hidden="1" thickBot="1" x14ac:dyDescent="0.3">
      <c r="A849" s="227"/>
      <c r="B849" s="225"/>
      <c r="C849" s="36" t="s">
        <v>307</v>
      </c>
      <c r="D849" s="47" t="s">
        <v>94</v>
      </c>
      <c r="E849" s="37">
        <v>1.05</v>
      </c>
      <c r="F849" s="34" t="s">
        <v>572</v>
      </c>
      <c r="G849" s="34" t="str">
        <f t="shared" si="14"/>
        <v/>
      </c>
      <c r="H849" s="35"/>
      <c r="I849" s="31"/>
      <c r="J849" s="156">
        <v>0</v>
      </c>
    </row>
    <row r="850" spans="1:10" ht="15.75" hidden="1" thickBot="1" x14ac:dyDescent="0.3">
      <c r="A850" s="228"/>
      <c r="B850" s="226"/>
      <c r="C850" s="36"/>
      <c r="D850" s="47"/>
      <c r="E850" s="37"/>
      <c r="F850" s="34" t="s">
        <v>572</v>
      </c>
      <c r="G850" s="34" t="str">
        <f t="shared" si="14"/>
        <v/>
      </c>
      <c r="H850" s="35"/>
      <c r="I850" s="31"/>
      <c r="J850" s="156">
        <v>0</v>
      </c>
    </row>
    <row r="851" spans="1:10" ht="15.75" hidden="1" thickBot="1" x14ac:dyDescent="0.3">
      <c r="A851" s="221" t="s">
        <v>308</v>
      </c>
      <c r="B851" s="224" t="str">
        <f>INDEX(Orçamentária!A:B,MATCH(Composições!A851,Orçamentária!A:A,0),2)</f>
        <v>Cordão de massa de vidraceiro</v>
      </c>
      <c r="C851" s="41"/>
      <c r="D851" s="26" t="str">
        <f>TRIM(INDEX(Orçamentária!C:C,MATCH(Composições!A851,Orçamentária!A:A,0),1))</f>
        <v>m</v>
      </c>
      <c r="E851" s="27"/>
      <c r="F851" s="42" t="s">
        <v>572</v>
      </c>
      <c r="G851" s="28" t="str">
        <f t="shared" si="14"/>
        <v/>
      </c>
      <c r="H851" s="29"/>
      <c r="I851" s="30"/>
      <c r="J851" s="156">
        <v>0</v>
      </c>
    </row>
    <row r="852" spans="1:10" ht="15.75" hidden="1" thickBot="1" x14ac:dyDescent="0.3">
      <c r="A852" s="227"/>
      <c r="B852" s="225"/>
      <c r="C852" s="32"/>
      <c r="D852" s="32"/>
      <c r="E852" s="33"/>
      <c r="F852" s="43" t="s">
        <v>572</v>
      </c>
      <c r="G852" s="31" t="str">
        <f t="shared" si="14"/>
        <v/>
      </c>
      <c r="H852" s="35"/>
      <c r="I852" s="31"/>
      <c r="J852" s="156">
        <v>0</v>
      </c>
    </row>
    <row r="853" spans="1:10" ht="15.75" hidden="1" thickBot="1" x14ac:dyDescent="0.3">
      <c r="A853" s="227"/>
      <c r="B853" s="225"/>
      <c r="C853" s="36" t="s">
        <v>68</v>
      </c>
      <c r="D853" s="47" t="s">
        <v>12</v>
      </c>
      <c r="E853" s="37">
        <v>0.5</v>
      </c>
      <c r="F853" s="31">
        <v>20.539000000000001</v>
      </c>
      <c r="G853" s="34">
        <f t="shared" ref="G853:G916" si="15">IF(ISNUMBER(F853),E853*F853,"")</f>
        <v>10.269500000000001</v>
      </c>
      <c r="H853" s="39">
        <f>SUM(G853:G855)</f>
        <v>18.257575000000003</v>
      </c>
      <c r="I853" s="40"/>
      <c r="J853" s="156">
        <v>0</v>
      </c>
    </row>
    <row r="854" spans="1:10" ht="15.75" hidden="1" thickBot="1" x14ac:dyDescent="0.3">
      <c r="A854" s="227"/>
      <c r="B854" s="225"/>
      <c r="C854" s="36" t="s">
        <v>23</v>
      </c>
      <c r="D854" s="47" t="s">
        <v>12</v>
      </c>
      <c r="E854" s="37">
        <f>E853/2</f>
        <v>0.25</v>
      </c>
      <c r="F854" s="34">
        <v>16.311500000000002</v>
      </c>
      <c r="G854" s="31">
        <f t="shared" si="15"/>
        <v>4.0778750000000006</v>
      </c>
      <c r="H854" s="35"/>
      <c r="I854" s="31"/>
      <c r="J854" s="156">
        <v>0</v>
      </c>
    </row>
    <row r="855" spans="1:10" ht="15.75" hidden="1" thickBot="1" x14ac:dyDescent="0.3">
      <c r="A855" s="227"/>
      <c r="B855" s="225"/>
      <c r="C855" s="36" t="s">
        <v>309</v>
      </c>
      <c r="D855" s="36" t="s">
        <v>42</v>
      </c>
      <c r="E855" s="37">
        <v>0.6</v>
      </c>
      <c r="F855" s="34">
        <v>6.5170000000000003</v>
      </c>
      <c r="G855" s="31">
        <f t="shared" si="15"/>
        <v>3.9102000000000001</v>
      </c>
      <c r="H855" s="35"/>
      <c r="I855" s="31"/>
      <c r="J855" s="156">
        <v>0</v>
      </c>
    </row>
    <row r="856" spans="1:10" ht="15.75" hidden="1" thickBot="1" x14ac:dyDescent="0.3">
      <c r="A856" s="228"/>
      <c r="B856" s="226"/>
      <c r="C856" s="36"/>
      <c r="D856" s="36"/>
      <c r="E856" s="37"/>
      <c r="F856" s="31" t="s">
        <v>572</v>
      </c>
      <c r="G856" s="31" t="str">
        <f t="shared" si="15"/>
        <v/>
      </c>
      <c r="H856" s="35"/>
      <c r="I856" s="31"/>
      <c r="J856" s="156">
        <v>0</v>
      </c>
    </row>
    <row r="857" spans="1:10" ht="15.75" hidden="1" thickBot="1" x14ac:dyDescent="0.3">
      <c r="A857" s="221" t="s">
        <v>310</v>
      </c>
      <c r="B857" s="224" t="str">
        <f>INDEX(Orçamentária!A:B,MATCH(Composições!A857,Orçamentária!A:A,0),2)</f>
        <v>Espelho cristal, e=5 mm</v>
      </c>
      <c r="C857" s="41"/>
      <c r="D857" s="26" t="str">
        <f>TRIM(INDEX(Orçamentária!C:C,MATCH(Composições!A857,Orçamentária!A:A,0),1))</f>
        <v>m2</v>
      </c>
      <c r="E857" s="27"/>
      <c r="F857" s="42" t="s">
        <v>572</v>
      </c>
      <c r="G857" s="28" t="str">
        <f t="shared" si="15"/>
        <v/>
      </c>
      <c r="H857" s="29"/>
      <c r="I857" s="30"/>
      <c r="J857" s="156">
        <v>0</v>
      </c>
    </row>
    <row r="858" spans="1:10" ht="15.75" hidden="1" thickBot="1" x14ac:dyDescent="0.3">
      <c r="A858" s="222"/>
      <c r="B858" s="225"/>
      <c r="C858" s="32"/>
      <c r="D858" s="32"/>
      <c r="E858" s="33"/>
      <c r="F858" s="43" t="s">
        <v>572</v>
      </c>
      <c r="G858" s="31" t="str">
        <f t="shared" si="15"/>
        <v/>
      </c>
      <c r="H858" s="35"/>
      <c r="I858" s="31"/>
      <c r="J858" s="156">
        <v>0</v>
      </c>
    </row>
    <row r="859" spans="1:10" ht="26.25" hidden="1" thickBot="1" x14ac:dyDescent="0.3">
      <c r="A859" s="222"/>
      <c r="B859" s="225"/>
      <c r="C859" s="36" t="s">
        <v>311</v>
      </c>
      <c r="D859" s="47" t="s">
        <v>20</v>
      </c>
      <c r="E859" s="37">
        <v>4</v>
      </c>
      <c r="F859" s="34">
        <v>4.2939999999999996</v>
      </c>
      <c r="G859" s="34">
        <f t="shared" si="15"/>
        <v>17.175999999999998</v>
      </c>
      <c r="H859" s="39">
        <f>SUM(G859:G862)</f>
        <v>65.7286</v>
      </c>
      <c r="I859" s="40"/>
      <c r="J859" s="156">
        <v>0</v>
      </c>
    </row>
    <row r="860" spans="1:10" ht="15.75" hidden="1" thickBot="1" x14ac:dyDescent="0.3">
      <c r="A860" s="222"/>
      <c r="B860" s="225"/>
      <c r="C860" s="36" t="s">
        <v>312</v>
      </c>
      <c r="D860" s="47" t="s">
        <v>96</v>
      </c>
      <c r="E860" s="37">
        <v>1</v>
      </c>
      <c r="F860" s="31">
        <v>0.95</v>
      </c>
      <c r="G860" s="34">
        <f t="shared" si="15"/>
        <v>0.95</v>
      </c>
      <c r="H860" s="35"/>
      <c r="I860" s="31"/>
      <c r="J860" s="156">
        <v>0</v>
      </c>
    </row>
    <row r="861" spans="1:10" ht="15.75" hidden="1" thickBot="1" x14ac:dyDescent="0.3">
      <c r="A861" s="222"/>
      <c r="B861" s="225"/>
      <c r="C861" s="36" t="s">
        <v>23</v>
      </c>
      <c r="D861" s="47" t="s">
        <v>12</v>
      </c>
      <c r="E861" s="37">
        <v>0.4</v>
      </c>
      <c r="F861" s="31">
        <v>16.311500000000002</v>
      </c>
      <c r="G861" s="34">
        <f t="shared" si="15"/>
        <v>6.5246000000000013</v>
      </c>
      <c r="H861" s="35"/>
      <c r="I861" s="31"/>
      <c r="J861" s="156">
        <v>0</v>
      </c>
    </row>
    <row r="862" spans="1:10" ht="15.75" hidden="1" thickBot="1" x14ac:dyDescent="0.3">
      <c r="A862" s="222"/>
      <c r="B862" s="225"/>
      <c r="C862" s="36" t="s">
        <v>68</v>
      </c>
      <c r="D862" s="47" t="s">
        <v>12</v>
      </c>
      <c r="E862" s="37">
        <v>2</v>
      </c>
      <c r="F862" s="31">
        <v>20.539000000000001</v>
      </c>
      <c r="G862" s="34">
        <f t="shared" si="15"/>
        <v>41.078000000000003</v>
      </c>
      <c r="H862" s="35"/>
      <c r="I862" s="31"/>
      <c r="J862" s="156">
        <v>0</v>
      </c>
    </row>
    <row r="863" spans="1:10" ht="15.75" hidden="1" thickBot="1" x14ac:dyDescent="0.3">
      <c r="A863" s="223"/>
      <c r="B863" s="226"/>
      <c r="C863" s="36"/>
      <c r="D863" s="36"/>
      <c r="E863" s="37"/>
      <c r="F863" s="31" t="s">
        <v>572</v>
      </c>
      <c r="G863" s="31" t="str">
        <f t="shared" si="15"/>
        <v/>
      </c>
      <c r="H863" s="35"/>
      <c r="I863" s="31"/>
      <c r="J863" s="156">
        <v>0</v>
      </c>
    </row>
    <row r="864" spans="1:10" ht="15.75" hidden="1" thickBot="1" x14ac:dyDescent="0.3">
      <c r="A864" s="221" t="s">
        <v>313</v>
      </c>
      <c r="B864" s="224" t="str">
        <f>INDEX(Orçamentária!A:B,MATCH(Composições!A864,Orçamentária!A:A,0),2)</f>
        <v>Instalação de vidro reaproveitado</v>
      </c>
      <c r="C864" s="41"/>
      <c r="D864" s="26" t="str">
        <f>TRIM(INDEX(Orçamentária!C:C,MATCH(Composições!A864,Orçamentária!A:A,0),1))</f>
        <v>m2</v>
      </c>
      <c r="E864" s="27"/>
      <c r="F864" s="42" t="s">
        <v>572</v>
      </c>
      <c r="G864" s="28" t="str">
        <f t="shared" si="15"/>
        <v/>
      </c>
      <c r="H864" s="29"/>
      <c r="I864" s="30"/>
      <c r="J864" s="156">
        <v>0</v>
      </c>
    </row>
    <row r="865" spans="1:10" ht="15.75" hidden="1" thickBot="1" x14ac:dyDescent="0.3">
      <c r="A865" s="222"/>
      <c r="B865" s="225"/>
      <c r="C865" s="32"/>
      <c r="D865" s="32"/>
      <c r="E865" s="33"/>
      <c r="F865" s="43" t="s">
        <v>572</v>
      </c>
      <c r="G865" s="31" t="str">
        <f t="shared" si="15"/>
        <v/>
      </c>
      <c r="H865" s="35"/>
      <c r="I865" s="31"/>
      <c r="J865" s="156">
        <v>0</v>
      </c>
    </row>
    <row r="866" spans="1:10" ht="15.75" hidden="1" thickBot="1" x14ac:dyDescent="0.3">
      <c r="A866" s="222"/>
      <c r="B866" s="225"/>
      <c r="C866" s="36" t="s">
        <v>23</v>
      </c>
      <c r="D866" s="47" t="s">
        <v>12</v>
      </c>
      <c r="E866" s="37">
        <v>0.45</v>
      </c>
      <c r="F866" s="31">
        <v>16.311500000000002</v>
      </c>
      <c r="G866" s="34">
        <f t="shared" si="15"/>
        <v>7.3401750000000012</v>
      </c>
      <c r="H866" s="39">
        <f>SUM(G866:G868)</f>
        <v>27.009925000000003</v>
      </c>
      <c r="I866" s="40"/>
      <c r="J866" s="156">
        <v>0</v>
      </c>
    </row>
    <row r="867" spans="1:10" ht="15.75" hidden="1" thickBot="1" x14ac:dyDescent="0.3">
      <c r="A867" s="222"/>
      <c r="B867" s="225"/>
      <c r="C867" s="36" t="s">
        <v>68</v>
      </c>
      <c r="D867" s="47" t="s">
        <v>12</v>
      </c>
      <c r="E867" s="37">
        <v>0.45</v>
      </c>
      <c r="F867" s="31">
        <v>20.539000000000001</v>
      </c>
      <c r="G867" s="34">
        <f t="shared" si="15"/>
        <v>9.2425500000000014</v>
      </c>
      <c r="H867" s="35"/>
      <c r="I867" s="31"/>
      <c r="J867" s="156">
        <v>0</v>
      </c>
    </row>
    <row r="868" spans="1:10" ht="15.75" hidden="1" thickBot="1" x14ac:dyDescent="0.3">
      <c r="A868" s="222"/>
      <c r="B868" s="225"/>
      <c r="C868" s="36" t="s">
        <v>309</v>
      </c>
      <c r="D868" s="47" t="s">
        <v>42</v>
      </c>
      <c r="E868" s="37">
        <v>1.6</v>
      </c>
      <c r="F868" s="34">
        <v>6.5170000000000003</v>
      </c>
      <c r="G868" s="34">
        <f t="shared" si="15"/>
        <v>10.427200000000001</v>
      </c>
      <c r="H868" s="35"/>
      <c r="I868" s="31"/>
      <c r="J868" s="156">
        <v>0</v>
      </c>
    </row>
    <row r="869" spans="1:10" ht="15.75" hidden="1" thickBot="1" x14ac:dyDescent="0.3">
      <c r="A869" s="222"/>
      <c r="B869" s="225"/>
      <c r="C869" s="36"/>
      <c r="D869" s="47"/>
      <c r="E869" s="37"/>
      <c r="F869" s="34" t="s">
        <v>572</v>
      </c>
      <c r="G869" s="34" t="str">
        <f t="shared" si="15"/>
        <v/>
      </c>
      <c r="H869" s="35"/>
      <c r="I869" s="31"/>
      <c r="J869" s="156">
        <v>0</v>
      </c>
    </row>
    <row r="870" spans="1:10" ht="15.75" hidden="1" thickBot="1" x14ac:dyDescent="0.3">
      <c r="A870" s="221" t="s">
        <v>314</v>
      </c>
      <c r="B870" s="224" t="str">
        <f>INDEX(Orçamentária!A:B,MATCH(Composições!A870,Orçamentária!A:A,0),2)</f>
        <v>Substituição da calafetação com selante</v>
      </c>
      <c r="C870" s="41"/>
      <c r="D870" s="26" t="str">
        <f>TRIM(INDEX(Orçamentária!C:C,MATCH(Composições!A870,Orçamentária!A:A,0),1))</f>
        <v>m</v>
      </c>
      <c r="E870" s="27"/>
      <c r="F870" s="42" t="s">
        <v>572</v>
      </c>
      <c r="G870" s="28" t="str">
        <f t="shared" si="15"/>
        <v/>
      </c>
      <c r="H870" s="29"/>
      <c r="I870" s="30"/>
      <c r="J870" s="156">
        <v>0</v>
      </c>
    </row>
    <row r="871" spans="1:10" ht="15.75" hidden="1" thickBot="1" x14ac:dyDescent="0.3">
      <c r="A871" s="227"/>
      <c r="B871" s="225"/>
      <c r="C871" s="32"/>
      <c r="D871" s="32"/>
      <c r="E871" s="33"/>
      <c r="F871" s="43" t="s">
        <v>572</v>
      </c>
      <c r="G871" s="31" t="str">
        <f t="shared" si="15"/>
        <v/>
      </c>
      <c r="H871" s="35"/>
      <c r="I871" s="31"/>
      <c r="J871" s="156">
        <v>0</v>
      </c>
    </row>
    <row r="872" spans="1:10" ht="15.75" hidden="1" thickBot="1" x14ac:dyDescent="0.3">
      <c r="A872" s="227"/>
      <c r="B872" s="225"/>
      <c r="C872" s="36" t="s">
        <v>68</v>
      </c>
      <c r="D872" s="47" t="s">
        <v>12</v>
      </c>
      <c r="E872" s="37">
        <v>0.5</v>
      </c>
      <c r="F872" s="31">
        <v>20.539000000000001</v>
      </c>
      <c r="G872" s="31">
        <f t="shared" si="15"/>
        <v>10.269500000000001</v>
      </c>
      <c r="H872" s="39">
        <f>SUM(G872:G874)</f>
        <v>20.518591149999999</v>
      </c>
      <c r="I872" s="40"/>
      <c r="J872" s="156">
        <v>0</v>
      </c>
    </row>
    <row r="873" spans="1:10" ht="15.75" hidden="1" thickBot="1" x14ac:dyDescent="0.3">
      <c r="A873" s="227"/>
      <c r="B873" s="225"/>
      <c r="C873" s="36" t="s">
        <v>23</v>
      </c>
      <c r="D873" s="47" t="s">
        <v>12</v>
      </c>
      <c r="E873" s="37">
        <f>E872/2</f>
        <v>0.25</v>
      </c>
      <c r="F873" s="34">
        <v>16.311500000000002</v>
      </c>
      <c r="G873" s="31">
        <f t="shared" si="15"/>
        <v>4.0778750000000006</v>
      </c>
      <c r="H873" s="35"/>
      <c r="I873" s="31"/>
      <c r="J873" s="156">
        <v>0</v>
      </c>
    </row>
    <row r="874" spans="1:10" ht="15.75" hidden="1" thickBot="1" x14ac:dyDescent="0.3">
      <c r="A874" s="227"/>
      <c r="B874" s="225"/>
      <c r="C874" s="36" t="s">
        <v>315</v>
      </c>
      <c r="D874" s="47" t="s">
        <v>20</v>
      </c>
      <c r="E874" s="37">
        <f>ROUND(1/3,4)</f>
        <v>0.33329999999999999</v>
      </c>
      <c r="F874" s="34">
        <v>18.515499999999999</v>
      </c>
      <c r="G874" s="31">
        <f t="shared" si="15"/>
        <v>6.1712161499999993</v>
      </c>
      <c r="H874" s="35"/>
      <c r="I874" s="31"/>
      <c r="J874" s="156">
        <v>0</v>
      </c>
    </row>
    <row r="875" spans="1:10" ht="15.75" hidden="1" thickBot="1" x14ac:dyDescent="0.3">
      <c r="A875" s="227"/>
      <c r="B875" s="225"/>
      <c r="C875" s="36"/>
      <c r="D875" s="47"/>
      <c r="E875" s="37"/>
      <c r="F875" s="31" t="s">
        <v>572</v>
      </c>
      <c r="G875" s="31" t="str">
        <f t="shared" si="15"/>
        <v/>
      </c>
      <c r="H875" s="35"/>
      <c r="I875" s="31"/>
      <c r="J875" s="156">
        <v>0</v>
      </c>
    </row>
    <row r="876" spans="1:10" ht="26.25" hidden="1" thickBot="1" x14ac:dyDescent="0.3">
      <c r="A876" s="227"/>
      <c r="B876" s="225"/>
      <c r="C876" s="58" t="s">
        <v>316</v>
      </c>
      <c r="D876" s="58"/>
      <c r="E876" s="59"/>
      <c r="F876" s="60" t="s">
        <v>572</v>
      </c>
      <c r="G876" s="58" t="str">
        <f t="shared" si="15"/>
        <v/>
      </c>
      <c r="H876" s="61"/>
      <c r="I876" s="58"/>
      <c r="J876" s="156">
        <v>0</v>
      </c>
    </row>
    <row r="877" spans="1:10" ht="15.75" hidden="1" thickBot="1" x14ac:dyDescent="0.3">
      <c r="A877" s="228"/>
      <c r="B877" s="226"/>
      <c r="C877" s="36"/>
      <c r="D877" s="36"/>
      <c r="E877" s="37"/>
      <c r="F877" s="31" t="s">
        <v>572</v>
      </c>
      <c r="G877" s="31" t="str">
        <f t="shared" si="15"/>
        <v/>
      </c>
      <c r="H877" s="35"/>
      <c r="I877" s="31"/>
      <c r="J877" s="156">
        <v>0</v>
      </c>
    </row>
    <row r="878" spans="1:10" ht="15.75" hidden="1" thickBot="1" x14ac:dyDescent="0.3">
      <c r="A878" s="221" t="s">
        <v>317</v>
      </c>
      <c r="B878" s="224" t="str">
        <f>INDEX(Orçamentária!A:B,MATCH(Composições!A878,Orçamentária!A:A,0),2)</f>
        <v>Vidro liso comum transparente 4mm</v>
      </c>
      <c r="C878" s="41"/>
      <c r="D878" s="26" t="str">
        <f>TRIM(INDEX(Orçamentária!C:C,MATCH(Composições!A878,Orçamentária!A:A,0),1))</f>
        <v>m2</v>
      </c>
      <c r="E878" s="27"/>
      <c r="F878" s="42" t="s">
        <v>572</v>
      </c>
      <c r="G878" s="28" t="str">
        <f t="shared" si="15"/>
        <v/>
      </c>
      <c r="H878" s="29"/>
      <c r="I878" s="30"/>
      <c r="J878" s="156">
        <v>0</v>
      </c>
    </row>
    <row r="879" spans="1:10" ht="15.75" hidden="1" thickBot="1" x14ac:dyDescent="0.3">
      <c r="A879" s="227"/>
      <c r="B879" s="225"/>
      <c r="C879" s="32"/>
      <c r="D879" s="32"/>
      <c r="E879" s="33"/>
      <c r="F879" s="43" t="s">
        <v>572</v>
      </c>
      <c r="G879" s="31" t="str">
        <f t="shared" si="15"/>
        <v/>
      </c>
      <c r="H879" s="35"/>
      <c r="I879" s="31"/>
      <c r="J879" s="156">
        <v>0</v>
      </c>
    </row>
    <row r="880" spans="1:10" ht="15.75" hidden="1" thickBot="1" x14ac:dyDescent="0.3">
      <c r="A880" s="227"/>
      <c r="B880" s="225"/>
      <c r="C880" s="36" t="s">
        <v>23</v>
      </c>
      <c r="D880" s="47" t="s">
        <v>12</v>
      </c>
      <c r="E880" s="37">
        <v>0.45</v>
      </c>
      <c r="F880" s="31">
        <v>16.311500000000002</v>
      </c>
      <c r="G880" s="34">
        <f t="shared" si="15"/>
        <v>7.3401750000000012</v>
      </c>
      <c r="H880" s="39">
        <f>SUM(G880:G883)</f>
        <v>129.600425</v>
      </c>
      <c r="I880" s="40"/>
      <c r="J880" s="156">
        <v>0</v>
      </c>
    </row>
    <row r="881" spans="1:10" ht="15.75" hidden="1" thickBot="1" x14ac:dyDescent="0.3">
      <c r="A881" s="227"/>
      <c r="B881" s="225"/>
      <c r="C881" s="36" t="s">
        <v>68</v>
      </c>
      <c r="D881" s="47" t="s">
        <v>12</v>
      </c>
      <c r="E881" s="37">
        <v>0.45</v>
      </c>
      <c r="F881" s="31">
        <v>20.539000000000001</v>
      </c>
      <c r="G881" s="34">
        <f t="shared" si="15"/>
        <v>9.2425500000000014</v>
      </c>
      <c r="H881" s="35"/>
      <c r="I881" s="31"/>
      <c r="J881" s="156">
        <v>0</v>
      </c>
    </row>
    <row r="882" spans="1:10" ht="15.75" hidden="1" thickBot="1" x14ac:dyDescent="0.3">
      <c r="A882" s="227"/>
      <c r="B882" s="225"/>
      <c r="C882" s="36" t="s">
        <v>318</v>
      </c>
      <c r="D882" s="47" t="s">
        <v>96</v>
      </c>
      <c r="E882" s="37">
        <v>1</v>
      </c>
      <c r="F882" s="34">
        <v>102.59049999999999</v>
      </c>
      <c r="G882" s="34">
        <f t="shared" si="15"/>
        <v>102.59049999999999</v>
      </c>
      <c r="H882" s="35"/>
      <c r="I882" s="31"/>
      <c r="J882" s="156">
        <v>0</v>
      </c>
    </row>
    <row r="883" spans="1:10" ht="15.75" hidden="1" thickBot="1" x14ac:dyDescent="0.3">
      <c r="A883" s="227"/>
      <c r="B883" s="225"/>
      <c r="C883" s="36" t="s">
        <v>309</v>
      </c>
      <c r="D883" s="47" t="s">
        <v>42</v>
      </c>
      <c r="E883" s="37">
        <v>1.6</v>
      </c>
      <c r="F883" s="34">
        <v>6.5170000000000003</v>
      </c>
      <c r="G883" s="34">
        <f t="shared" si="15"/>
        <v>10.427200000000001</v>
      </c>
      <c r="H883" s="35"/>
      <c r="I883" s="31"/>
      <c r="J883" s="156">
        <v>0</v>
      </c>
    </row>
    <row r="884" spans="1:10" ht="15.75" hidden="1" thickBot="1" x14ac:dyDescent="0.3">
      <c r="A884" s="228"/>
      <c r="B884" s="226"/>
      <c r="C884" s="36"/>
      <c r="D884" s="36"/>
      <c r="E884" s="37"/>
      <c r="F884" s="31" t="s">
        <v>572</v>
      </c>
      <c r="G884" s="31" t="str">
        <f t="shared" si="15"/>
        <v/>
      </c>
      <c r="H884" s="35"/>
      <c r="I884" s="31"/>
      <c r="J884" s="156">
        <v>0</v>
      </c>
    </row>
    <row r="885" spans="1:10" ht="15.75" hidden="1" thickBot="1" x14ac:dyDescent="0.3">
      <c r="A885" s="221" t="s">
        <v>319</v>
      </c>
      <c r="B885" s="224" t="str">
        <f>INDEX(Orçamentária!A:B,MATCH(Composições!A885,Orçamentária!A:A,0),2)</f>
        <v>Vidro liso comum transparente 6mm</v>
      </c>
      <c r="C885" s="41"/>
      <c r="D885" s="26" t="str">
        <f>TRIM(INDEX(Orçamentária!C:C,MATCH(Composições!A885,Orçamentária!A:A,0),1))</f>
        <v>m2</v>
      </c>
      <c r="E885" s="27"/>
      <c r="F885" s="42" t="s">
        <v>572</v>
      </c>
      <c r="G885" s="28" t="str">
        <f t="shared" si="15"/>
        <v/>
      </c>
      <c r="H885" s="29"/>
      <c r="I885" s="30"/>
      <c r="J885" s="156">
        <v>0</v>
      </c>
    </row>
    <row r="886" spans="1:10" ht="15.75" hidden="1" thickBot="1" x14ac:dyDescent="0.3">
      <c r="A886" s="227"/>
      <c r="B886" s="225"/>
      <c r="C886" s="32"/>
      <c r="D886" s="32"/>
      <c r="E886" s="33"/>
      <c r="F886" s="43" t="s">
        <v>572</v>
      </c>
      <c r="G886" s="31" t="str">
        <f t="shared" si="15"/>
        <v/>
      </c>
      <c r="H886" s="35"/>
      <c r="I886" s="31"/>
      <c r="J886" s="156">
        <v>0</v>
      </c>
    </row>
    <row r="887" spans="1:10" ht="15.75" hidden="1" thickBot="1" x14ac:dyDescent="0.3">
      <c r="A887" s="227"/>
      <c r="B887" s="225"/>
      <c r="C887" s="36" t="s">
        <v>23</v>
      </c>
      <c r="D887" s="47" t="s">
        <v>12</v>
      </c>
      <c r="E887" s="37">
        <v>0.2</v>
      </c>
      <c r="F887" s="31">
        <v>16.311500000000002</v>
      </c>
      <c r="G887" s="31">
        <f t="shared" si="15"/>
        <v>3.2623000000000006</v>
      </c>
      <c r="H887" s="39">
        <f>SUM(G887:G890)</f>
        <v>182.18529999999998</v>
      </c>
      <c r="I887" s="40"/>
      <c r="J887" s="156">
        <v>0</v>
      </c>
    </row>
    <row r="888" spans="1:10" ht="15.75" hidden="1" thickBot="1" x14ac:dyDescent="0.3">
      <c r="A888" s="227"/>
      <c r="B888" s="225"/>
      <c r="C888" s="36" t="s">
        <v>68</v>
      </c>
      <c r="D888" s="47" t="s">
        <v>12</v>
      </c>
      <c r="E888" s="37">
        <v>1</v>
      </c>
      <c r="F888" s="31">
        <v>20.539000000000001</v>
      </c>
      <c r="G888" s="31">
        <f t="shared" si="15"/>
        <v>20.539000000000001</v>
      </c>
      <c r="H888" s="35"/>
      <c r="I888" s="31"/>
      <c r="J888" s="156">
        <v>0</v>
      </c>
    </row>
    <row r="889" spans="1:10" ht="15.75" hidden="1" thickBot="1" x14ac:dyDescent="0.3">
      <c r="A889" s="227"/>
      <c r="B889" s="225"/>
      <c r="C889" s="36" t="s">
        <v>320</v>
      </c>
      <c r="D889" s="47" t="s">
        <v>96</v>
      </c>
      <c r="E889" s="37">
        <v>1</v>
      </c>
      <c r="F889" s="34">
        <v>145.35</v>
      </c>
      <c r="G889" s="31">
        <f t="shared" si="15"/>
        <v>145.35</v>
      </c>
      <c r="H889" s="35"/>
      <c r="I889" s="31"/>
      <c r="J889" s="156">
        <v>0</v>
      </c>
    </row>
    <row r="890" spans="1:10" ht="15.75" hidden="1" thickBot="1" x14ac:dyDescent="0.3">
      <c r="A890" s="227"/>
      <c r="B890" s="225"/>
      <c r="C890" s="36" t="s">
        <v>309</v>
      </c>
      <c r="D890" s="47" t="s">
        <v>42</v>
      </c>
      <c r="E890" s="37">
        <v>2</v>
      </c>
      <c r="F890" s="34">
        <v>6.5170000000000003</v>
      </c>
      <c r="G890" s="31">
        <f t="shared" si="15"/>
        <v>13.034000000000001</v>
      </c>
      <c r="H890" s="35"/>
      <c r="I890" s="31"/>
      <c r="J890" s="156">
        <v>0</v>
      </c>
    </row>
    <row r="891" spans="1:10" ht="15.75" hidden="1" thickBot="1" x14ac:dyDescent="0.3">
      <c r="A891" s="228"/>
      <c r="B891" s="226"/>
      <c r="C891" s="36"/>
      <c r="D891" s="36"/>
      <c r="E891" s="37"/>
      <c r="F891" s="31" t="s">
        <v>572</v>
      </c>
      <c r="G891" s="31" t="str">
        <f t="shared" si="15"/>
        <v/>
      </c>
      <c r="H891" s="35"/>
      <c r="I891" s="31"/>
      <c r="J891" s="156">
        <v>0</v>
      </c>
    </row>
    <row r="892" spans="1:10" ht="15.75" hidden="1" thickBot="1" x14ac:dyDescent="0.3">
      <c r="A892" s="221" t="s">
        <v>321</v>
      </c>
      <c r="B892" s="224" t="str">
        <f>INDEX(Orçamentária!A:B,MATCH(Composições!A892,Orçamentária!A:A,0),2)</f>
        <v>Instalação de painéis de vidro temperado reaproveitados</v>
      </c>
      <c r="C892" s="41"/>
      <c r="D892" s="26" t="str">
        <f>TRIM(INDEX(Orçamentária!C:C,MATCH(Composições!A892,Orçamentária!A:A,0),1))</f>
        <v>m2</v>
      </c>
      <c r="E892" s="27"/>
      <c r="F892" s="42" t="s">
        <v>572</v>
      </c>
      <c r="G892" s="28" t="str">
        <f t="shared" si="15"/>
        <v/>
      </c>
      <c r="H892" s="29"/>
      <c r="I892" s="30"/>
      <c r="J892" s="156">
        <v>0</v>
      </c>
    </row>
    <row r="893" spans="1:10" ht="15.75" hidden="1" thickBot="1" x14ac:dyDescent="0.3">
      <c r="A893" s="222"/>
      <c r="B893" s="225"/>
      <c r="C893" s="32"/>
      <c r="D893" s="32"/>
      <c r="E893" s="33"/>
      <c r="F893" s="43" t="s">
        <v>572</v>
      </c>
      <c r="G893" s="31" t="str">
        <f t="shared" si="15"/>
        <v/>
      </c>
      <c r="H893" s="35"/>
      <c r="I893" s="31"/>
      <c r="J893" s="156">
        <v>0</v>
      </c>
    </row>
    <row r="894" spans="1:10" ht="15.75" hidden="1" thickBot="1" x14ac:dyDescent="0.3">
      <c r="A894" s="222"/>
      <c r="B894" s="225"/>
      <c r="C894" s="36" t="s">
        <v>68</v>
      </c>
      <c r="D894" s="36" t="s">
        <v>12</v>
      </c>
      <c r="E894" s="37">
        <f>2.2/2</f>
        <v>1.1000000000000001</v>
      </c>
      <c r="F894" s="31">
        <v>20.539000000000001</v>
      </c>
      <c r="G894" s="34">
        <f t="shared" si="15"/>
        <v>22.592900000000004</v>
      </c>
      <c r="H894" s="39">
        <f>SUM(G894:G895)</f>
        <v>40.535550000000008</v>
      </c>
      <c r="I894" s="40"/>
      <c r="J894" s="156">
        <v>0</v>
      </c>
    </row>
    <row r="895" spans="1:10" ht="15.75" hidden="1" thickBot="1" x14ac:dyDescent="0.3">
      <c r="A895" s="222"/>
      <c r="B895" s="225"/>
      <c r="C895" s="36" t="s">
        <v>23</v>
      </c>
      <c r="D895" s="47" t="s">
        <v>12</v>
      </c>
      <c r="E895" s="37">
        <f>2.2/2</f>
        <v>1.1000000000000001</v>
      </c>
      <c r="F895" s="31">
        <v>16.311500000000002</v>
      </c>
      <c r="G895" s="34">
        <f t="shared" si="15"/>
        <v>17.942650000000004</v>
      </c>
      <c r="H895" s="35"/>
      <c r="I895" s="31"/>
      <c r="J895" s="156">
        <v>0</v>
      </c>
    </row>
    <row r="896" spans="1:10" ht="15.75" hidden="1" thickBot="1" x14ac:dyDescent="0.3">
      <c r="A896" s="223"/>
      <c r="B896" s="226"/>
      <c r="C896" s="36"/>
      <c r="D896" s="36"/>
      <c r="E896" s="37"/>
      <c r="F896" s="31" t="s">
        <v>572</v>
      </c>
      <c r="G896" s="31" t="str">
        <f t="shared" si="15"/>
        <v/>
      </c>
      <c r="H896" s="35"/>
      <c r="I896" s="31"/>
      <c r="J896" s="156">
        <v>0</v>
      </c>
    </row>
    <row r="897" spans="1:10" ht="15.75" hidden="1" thickBot="1" x14ac:dyDescent="0.3">
      <c r="A897" s="221" t="s">
        <v>322</v>
      </c>
      <c r="B897" s="224" t="str">
        <f>INDEX(Orçamentária!A:B,MATCH(Composições!A897,Orçamentária!A:A,0),2)</f>
        <v>Mola hidráulica de piso</v>
      </c>
      <c r="C897" s="41"/>
      <c r="D897" s="26" t="str">
        <f>TRIM(INDEX(Orçamentária!C:C,MATCH(Composições!A897,Orçamentária!A:A,0),1))</f>
        <v>un</v>
      </c>
      <c r="E897" s="27"/>
      <c r="F897" s="42" t="s">
        <v>572</v>
      </c>
      <c r="G897" s="28" t="str">
        <f t="shared" si="15"/>
        <v/>
      </c>
      <c r="H897" s="29"/>
      <c r="I897" s="30"/>
      <c r="J897" s="156">
        <v>0</v>
      </c>
    </row>
    <row r="898" spans="1:10" ht="15.75" hidden="1" thickBot="1" x14ac:dyDescent="0.3">
      <c r="A898" s="222"/>
      <c r="B898" s="225"/>
      <c r="C898" s="32"/>
      <c r="D898" s="32"/>
      <c r="E898" s="33"/>
      <c r="F898" s="43" t="s">
        <v>572</v>
      </c>
      <c r="G898" s="31" t="str">
        <f t="shared" si="15"/>
        <v/>
      </c>
      <c r="H898" s="35"/>
      <c r="I898" s="31"/>
      <c r="J898" s="156">
        <v>0</v>
      </c>
    </row>
    <row r="899" spans="1:10" ht="15.75" hidden="1" thickBot="1" x14ac:dyDescent="0.3">
      <c r="A899" s="222"/>
      <c r="B899" s="225"/>
      <c r="C899" s="36" t="s">
        <v>68</v>
      </c>
      <c r="D899" s="36" t="s">
        <v>12</v>
      </c>
      <c r="E899" s="37">
        <v>0.75</v>
      </c>
      <c r="F899" s="31">
        <v>20.539000000000001</v>
      </c>
      <c r="G899" s="34">
        <f t="shared" si="15"/>
        <v>15.404250000000001</v>
      </c>
      <c r="H899" s="39">
        <f>SUM(G899:G902)</f>
        <v>20.297700000000003</v>
      </c>
      <c r="I899" s="40"/>
      <c r="J899" s="156">
        <v>0</v>
      </c>
    </row>
    <row r="900" spans="1:10" ht="15.75" hidden="1" thickBot="1" x14ac:dyDescent="0.3">
      <c r="A900" s="222"/>
      <c r="B900" s="225"/>
      <c r="C900" s="36" t="s">
        <v>23</v>
      </c>
      <c r="D900" s="47" t="s">
        <v>12</v>
      </c>
      <c r="E900" s="37">
        <v>0.3</v>
      </c>
      <c r="F900" s="31">
        <v>16.311500000000002</v>
      </c>
      <c r="G900" s="34">
        <f t="shared" si="15"/>
        <v>4.8934500000000005</v>
      </c>
      <c r="H900" s="45"/>
      <c r="I900" s="46"/>
      <c r="J900" s="156">
        <v>0</v>
      </c>
    </row>
    <row r="901" spans="1:10" ht="39" hidden="1" thickBot="1" x14ac:dyDescent="0.3">
      <c r="A901" s="222"/>
      <c r="B901" s="225"/>
      <c r="C901" s="36" t="s">
        <v>323</v>
      </c>
      <c r="D901" s="36" t="s">
        <v>20</v>
      </c>
      <c r="E901" s="37">
        <v>1</v>
      </c>
      <c r="F901" s="31" t="s">
        <v>572</v>
      </c>
      <c r="G901" s="31" t="str">
        <f t="shared" si="15"/>
        <v/>
      </c>
      <c r="H901" s="35"/>
      <c r="I901" s="31"/>
      <c r="J901" s="156">
        <v>0</v>
      </c>
    </row>
    <row r="902" spans="1:10" ht="15.75" hidden="1" thickBot="1" x14ac:dyDescent="0.3">
      <c r="A902" s="222"/>
      <c r="B902" s="225"/>
      <c r="C902" s="36" t="s">
        <v>324</v>
      </c>
      <c r="D902" s="36" t="s">
        <v>20</v>
      </c>
      <c r="E902" s="37">
        <v>1</v>
      </c>
      <c r="F902" s="31" t="s">
        <v>572</v>
      </c>
      <c r="G902" s="31" t="str">
        <f t="shared" si="15"/>
        <v/>
      </c>
      <c r="H902" s="35"/>
      <c r="I902" s="31"/>
      <c r="J902" s="156">
        <v>0</v>
      </c>
    </row>
    <row r="903" spans="1:10" ht="15.75" hidden="1" thickBot="1" x14ac:dyDescent="0.3">
      <c r="A903" s="223"/>
      <c r="B903" s="226"/>
      <c r="C903" s="36"/>
      <c r="D903" s="36"/>
      <c r="E903" s="37"/>
      <c r="F903" s="31" t="s">
        <v>572</v>
      </c>
      <c r="G903" s="31" t="str">
        <f t="shared" si="15"/>
        <v/>
      </c>
      <c r="H903" s="35"/>
      <c r="I903" s="31"/>
      <c r="J903" s="156">
        <v>0</v>
      </c>
    </row>
    <row r="904" spans="1:10" ht="15.75" hidden="1" thickBot="1" x14ac:dyDescent="0.3">
      <c r="A904" s="221" t="s">
        <v>325</v>
      </c>
      <c r="B904" s="224" t="str">
        <f>INDEX(Orçamentária!A:B,MATCH(Composições!A904,Orçamentária!A:A,0),2)</f>
        <v>Instalação de persianas reaproveitadas</v>
      </c>
      <c r="C904" s="41"/>
      <c r="D904" s="26" t="str">
        <f>TRIM(INDEX(Orçamentária!C:C,MATCH(Composições!A904,Orçamentária!A:A,0),1))</f>
        <v>m</v>
      </c>
      <c r="E904" s="27"/>
      <c r="F904" s="42" t="s">
        <v>572</v>
      </c>
      <c r="G904" s="28" t="str">
        <f t="shared" si="15"/>
        <v/>
      </c>
      <c r="H904" s="29"/>
      <c r="I904" s="30"/>
      <c r="J904" s="156">
        <v>0</v>
      </c>
    </row>
    <row r="905" spans="1:10" ht="15.75" hidden="1" thickBot="1" x14ac:dyDescent="0.3">
      <c r="A905" s="222"/>
      <c r="B905" s="225"/>
      <c r="C905" s="32"/>
      <c r="D905" s="32"/>
      <c r="E905" s="33"/>
      <c r="F905" s="43" t="s">
        <v>572</v>
      </c>
      <c r="G905" s="31" t="str">
        <f t="shared" si="15"/>
        <v/>
      </c>
      <c r="H905" s="35"/>
      <c r="I905" s="31"/>
      <c r="J905" s="156">
        <v>0</v>
      </c>
    </row>
    <row r="906" spans="1:10" ht="15.75" hidden="1" thickBot="1" x14ac:dyDescent="0.3">
      <c r="A906" s="222"/>
      <c r="B906" s="225"/>
      <c r="C906" s="36" t="s">
        <v>50</v>
      </c>
      <c r="D906" s="36" t="s">
        <v>12</v>
      </c>
      <c r="E906" s="37">
        <f>ROUND(1/3,4)</f>
        <v>0.33329999999999999</v>
      </c>
      <c r="F906" s="31">
        <v>19.3705</v>
      </c>
      <c r="G906" s="34">
        <f t="shared" si="15"/>
        <v>6.4561876499999995</v>
      </c>
      <c r="H906" s="39">
        <f>SUM(G906:G906)</f>
        <v>6.4561876499999995</v>
      </c>
      <c r="I906" s="40"/>
      <c r="J906" s="156">
        <v>0</v>
      </c>
    </row>
    <row r="907" spans="1:10" ht="15.75" hidden="1" thickBot="1" x14ac:dyDescent="0.3">
      <c r="A907" s="223"/>
      <c r="B907" s="226"/>
      <c r="C907" s="36"/>
      <c r="D907" s="36"/>
      <c r="E907" s="37"/>
      <c r="F907" s="31" t="s">
        <v>572</v>
      </c>
      <c r="G907" s="31" t="str">
        <f t="shared" si="15"/>
        <v/>
      </c>
      <c r="H907" s="35"/>
      <c r="I907" s="31"/>
      <c r="J907" s="156">
        <v>0</v>
      </c>
    </row>
    <row r="908" spans="1:10" ht="15.75" hidden="1" thickBot="1" x14ac:dyDescent="0.3">
      <c r="A908" s="221" t="s">
        <v>326</v>
      </c>
      <c r="B908" s="224" t="str">
        <f>INDEX(Orçamentária!A:B,MATCH(Composições!A908,Orçamentária!A:A,0),2)</f>
        <v>Tubo de ligação para bacia sanitária</v>
      </c>
      <c r="C908" s="41"/>
      <c r="D908" s="26" t="str">
        <f>TRIM(INDEX(Orçamentária!C:C,MATCH(Composições!A908,Orçamentária!A:A,0),1))</f>
        <v>un</v>
      </c>
      <c r="E908" s="27"/>
      <c r="F908" s="42" t="s">
        <v>572</v>
      </c>
      <c r="G908" s="28" t="str">
        <f t="shared" si="15"/>
        <v/>
      </c>
      <c r="H908" s="29"/>
      <c r="I908" s="30"/>
      <c r="J908" s="156">
        <v>0</v>
      </c>
    </row>
    <row r="909" spans="1:10" ht="15.75" hidden="1" thickBot="1" x14ac:dyDescent="0.3">
      <c r="A909" s="222"/>
      <c r="B909" s="225"/>
      <c r="C909" s="32"/>
      <c r="D909" s="32"/>
      <c r="E909" s="33"/>
      <c r="F909" s="43" t="s">
        <v>572</v>
      </c>
      <c r="G909" s="31" t="str">
        <f t="shared" si="15"/>
        <v/>
      </c>
      <c r="H909" s="35"/>
      <c r="I909" s="31"/>
      <c r="J909" s="156">
        <v>0</v>
      </c>
    </row>
    <row r="910" spans="1:10" ht="15.75" hidden="1" thickBot="1" x14ac:dyDescent="0.3">
      <c r="A910" s="222"/>
      <c r="B910" s="225"/>
      <c r="C910" s="36" t="s">
        <v>39</v>
      </c>
      <c r="D910" s="47" t="s">
        <v>12</v>
      </c>
      <c r="E910" s="37">
        <v>0.2</v>
      </c>
      <c r="F910" s="31">
        <v>21.622</v>
      </c>
      <c r="G910" s="34">
        <f t="shared" si="15"/>
        <v>4.3243999999999998</v>
      </c>
      <c r="H910" s="39">
        <f>SUM(G910:G912)</f>
        <v>7.0698999999999996</v>
      </c>
      <c r="I910" s="40"/>
      <c r="J910" s="156">
        <v>0</v>
      </c>
    </row>
    <row r="911" spans="1:10" ht="15.75" hidden="1" thickBot="1" x14ac:dyDescent="0.3">
      <c r="A911" s="222"/>
      <c r="B911" s="225"/>
      <c r="C911" s="36" t="s">
        <v>327</v>
      </c>
      <c r="D911" s="47" t="s">
        <v>20</v>
      </c>
      <c r="E911" s="37">
        <v>1</v>
      </c>
      <c r="F911" s="34">
        <v>2.7454999999999998</v>
      </c>
      <c r="G911" s="54">
        <f t="shared" si="15"/>
        <v>2.7454999999999998</v>
      </c>
      <c r="H911" s="35"/>
      <c r="I911" s="31"/>
      <c r="J911" s="156">
        <v>0</v>
      </c>
    </row>
    <row r="912" spans="1:10" ht="26.25" hidden="1" thickBot="1" x14ac:dyDescent="0.3">
      <c r="A912" s="222"/>
      <c r="B912" s="225"/>
      <c r="C912" s="36" t="s">
        <v>328</v>
      </c>
      <c r="D912" s="36" t="s">
        <v>20</v>
      </c>
      <c r="E912" s="37">
        <v>1</v>
      </c>
      <c r="F912" s="34" t="s">
        <v>572</v>
      </c>
      <c r="G912" s="31" t="str">
        <f t="shared" si="15"/>
        <v/>
      </c>
      <c r="H912" s="35"/>
      <c r="I912" s="31"/>
      <c r="J912" s="156">
        <v>0</v>
      </c>
    </row>
    <row r="913" spans="1:10" ht="15.75" hidden="1" thickBot="1" x14ac:dyDescent="0.3">
      <c r="A913" s="223"/>
      <c r="B913" s="226"/>
      <c r="C913" s="36"/>
      <c r="D913" s="36"/>
      <c r="E913" s="37"/>
      <c r="F913" s="31" t="s">
        <v>572</v>
      </c>
      <c r="G913" s="31" t="str">
        <f t="shared" si="15"/>
        <v/>
      </c>
      <c r="H913" s="35"/>
      <c r="I913" s="31"/>
      <c r="J913" s="156">
        <v>0</v>
      </c>
    </row>
    <row r="914" spans="1:10" ht="15.75" hidden="1" thickBot="1" x14ac:dyDescent="0.3">
      <c r="A914" s="221" t="s">
        <v>329</v>
      </c>
      <c r="B914" s="224" t="str">
        <f>INDEX(Orçamentária!A:B,MATCH(Composições!A914,Orçamentária!A:A,0),2)</f>
        <v>Tubo PVC esgoto ou aguas pluviais predial DN 100mm</v>
      </c>
      <c r="C914" s="41"/>
      <c r="D914" s="26" t="str">
        <f>TRIM(INDEX(Orçamentária!C:C,MATCH(Composições!A914,Orçamentária!A:A,0),1))</f>
        <v>m</v>
      </c>
      <c r="E914" s="27"/>
      <c r="F914" s="42" t="s">
        <v>572</v>
      </c>
      <c r="G914" s="28" t="str">
        <f t="shared" si="15"/>
        <v/>
      </c>
      <c r="H914" s="29"/>
      <c r="I914" s="30"/>
      <c r="J914" s="156">
        <v>0</v>
      </c>
    </row>
    <row r="915" spans="1:10" ht="15.75" hidden="1" thickBot="1" x14ac:dyDescent="0.3">
      <c r="A915" s="222"/>
      <c r="B915" s="225"/>
      <c r="C915" s="32"/>
      <c r="D915" s="32"/>
      <c r="E915" s="33"/>
      <c r="F915" s="43" t="s">
        <v>572</v>
      </c>
      <c r="G915" s="31" t="str">
        <f t="shared" si="15"/>
        <v/>
      </c>
      <c r="H915" s="35"/>
      <c r="I915" s="31"/>
      <c r="J915" s="156">
        <v>0</v>
      </c>
    </row>
    <row r="916" spans="1:10" ht="15.75" hidden="1" thickBot="1" x14ac:dyDescent="0.3">
      <c r="A916" s="222"/>
      <c r="B916" s="225"/>
      <c r="C916" s="36" t="s">
        <v>330</v>
      </c>
      <c r="D916" s="47" t="s">
        <v>20</v>
      </c>
      <c r="E916" s="37">
        <v>4.2900000000000001E-2</v>
      </c>
      <c r="F916" s="34">
        <v>75.515499999999989</v>
      </c>
      <c r="G916" s="34">
        <f t="shared" si="15"/>
        <v>3.2396149499999995</v>
      </c>
      <c r="H916" s="39">
        <f>SUM(G916:G921)</f>
        <v>59.300756549999988</v>
      </c>
      <c r="I916" s="40"/>
      <c r="J916" s="156">
        <v>0</v>
      </c>
    </row>
    <row r="917" spans="1:10" ht="26.25" hidden="1" thickBot="1" x14ac:dyDescent="0.3">
      <c r="A917" s="222"/>
      <c r="B917" s="225"/>
      <c r="C917" s="36" t="s">
        <v>331</v>
      </c>
      <c r="D917" s="47" t="s">
        <v>94</v>
      </c>
      <c r="E917" s="37">
        <v>1.04</v>
      </c>
      <c r="F917" s="34">
        <v>32.727499999999999</v>
      </c>
      <c r="G917" s="34">
        <f t="shared" ref="G917:G980" si="16">IF(ISNUMBER(F917),E917*F917,"")</f>
        <v>34.0366</v>
      </c>
      <c r="H917" s="45"/>
      <c r="I917" s="46"/>
      <c r="J917" s="156">
        <v>0</v>
      </c>
    </row>
    <row r="918" spans="1:10" ht="15.75" hidden="1" thickBot="1" x14ac:dyDescent="0.3">
      <c r="A918" s="222"/>
      <c r="B918" s="225"/>
      <c r="C918" s="36" t="s">
        <v>332</v>
      </c>
      <c r="D918" s="47" t="s">
        <v>20</v>
      </c>
      <c r="E918" s="37">
        <v>7.0099999999999996E-2</v>
      </c>
      <c r="F918" s="34">
        <v>65.578499999999991</v>
      </c>
      <c r="G918" s="34">
        <f t="shared" si="16"/>
        <v>4.597052849999999</v>
      </c>
      <c r="H918" s="45"/>
      <c r="I918" s="46"/>
      <c r="J918" s="156">
        <v>0</v>
      </c>
    </row>
    <row r="919" spans="1:10" ht="15.75" hidden="1" thickBot="1" x14ac:dyDescent="0.3">
      <c r="A919" s="222"/>
      <c r="B919" s="225"/>
      <c r="C919" s="36" t="s">
        <v>333</v>
      </c>
      <c r="D919" s="47" t="s">
        <v>20</v>
      </c>
      <c r="E919" s="37">
        <v>0.14849999999999999</v>
      </c>
      <c r="F919" s="34">
        <v>1.9474999999999998</v>
      </c>
      <c r="G919" s="34">
        <f t="shared" si="16"/>
        <v>0.28920374999999998</v>
      </c>
      <c r="H919" s="45"/>
      <c r="I919" s="46"/>
      <c r="J919" s="156">
        <v>0</v>
      </c>
    </row>
    <row r="920" spans="1:10" ht="26.25" hidden="1" thickBot="1" x14ac:dyDescent="0.3">
      <c r="A920" s="222"/>
      <c r="B920" s="225"/>
      <c r="C920" s="36" t="s">
        <v>110</v>
      </c>
      <c r="D920" s="47" t="s">
        <v>12</v>
      </c>
      <c r="E920" s="37">
        <v>0.44500000000000001</v>
      </c>
      <c r="F920" s="31">
        <v>16.891000000000002</v>
      </c>
      <c r="G920" s="34">
        <f t="shared" si="16"/>
        <v>7.5164950000000008</v>
      </c>
      <c r="H920" s="45"/>
      <c r="I920" s="46"/>
      <c r="J920" s="156">
        <v>0</v>
      </c>
    </row>
    <row r="921" spans="1:10" ht="15.75" hidden="1" thickBot="1" x14ac:dyDescent="0.3">
      <c r="A921" s="222"/>
      <c r="B921" s="225"/>
      <c r="C921" s="36" t="s">
        <v>39</v>
      </c>
      <c r="D921" s="47" t="s">
        <v>12</v>
      </c>
      <c r="E921" s="37">
        <v>0.44500000000000001</v>
      </c>
      <c r="F921" s="31">
        <v>21.622</v>
      </c>
      <c r="G921" s="34">
        <f t="shared" si="16"/>
        <v>9.6217900000000007</v>
      </c>
      <c r="H921" s="45"/>
      <c r="I921" s="46"/>
      <c r="J921" s="156">
        <v>0</v>
      </c>
    </row>
    <row r="922" spans="1:10" ht="15.75" hidden="1" thickBot="1" x14ac:dyDescent="0.3">
      <c r="A922" s="223"/>
      <c r="B922" s="226"/>
      <c r="C922" s="36"/>
      <c r="D922" s="36"/>
      <c r="E922" s="37"/>
      <c r="F922" s="31" t="s">
        <v>572</v>
      </c>
      <c r="G922" s="31" t="str">
        <f t="shared" si="16"/>
        <v/>
      </c>
      <c r="H922" s="35"/>
      <c r="I922" s="31"/>
      <c r="J922" s="156">
        <v>0</v>
      </c>
    </row>
    <row r="923" spans="1:10" ht="15.75" hidden="1" thickBot="1" x14ac:dyDescent="0.3">
      <c r="A923" s="221" t="s">
        <v>334</v>
      </c>
      <c r="B923" s="224" t="str">
        <f>INDEX(Orçamentária!A:B,MATCH(Composições!A923,Orçamentária!A:A,0),2)</f>
        <v>Tubo PVC esgoto ou aguas pluviais predial DN 40mm</v>
      </c>
      <c r="C923" s="41"/>
      <c r="D923" s="26" t="str">
        <f>TRIM(INDEX(Orçamentária!C:C,MATCH(Composições!A923,Orçamentária!A:A,0),1))</f>
        <v>m</v>
      </c>
      <c r="E923" s="27"/>
      <c r="F923" s="42" t="s">
        <v>572</v>
      </c>
      <c r="G923" s="28" t="str">
        <f t="shared" si="16"/>
        <v/>
      </c>
      <c r="H923" s="29"/>
      <c r="I923" s="30"/>
      <c r="J923" s="156">
        <v>0</v>
      </c>
    </row>
    <row r="924" spans="1:10" ht="15.75" hidden="1" thickBot="1" x14ac:dyDescent="0.3">
      <c r="A924" s="222"/>
      <c r="B924" s="225"/>
      <c r="C924" s="32"/>
      <c r="D924" s="32"/>
      <c r="E924" s="33"/>
      <c r="F924" s="43" t="s">
        <v>572</v>
      </c>
      <c r="G924" s="31" t="str">
        <f t="shared" si="16"/>
        <v/>
      </c>
      <c r="H924" s="35"/>
      <c r="I924" s="31"/>
      <c r="J924" s="156">
        <v>0</v>
      </c>
    </row>
    <row r="925" spans="1:10" ht="26.25" hidden="1" thickBot="1" x14ac:dyDescent="0.3">
      <c r="A925" s="222"/>
      <c r="B925" s="225"/>
      <c r="C925" s="36" t="s">
        <v>335</v>
      </c>
      <c r="D925" s="47" t="s">
        <v>94</v>
      </c>
      <c r="E925" s="37">
        <v>1.04</v>
      </c>
      <c r="F925" s="34">
        <v>11.4285</v>
      </c>
      <c r="G925" s="34">
        <f t="shared" si="16"/>
        <v>11.88564</v>
      </c>
      <c r="H925" s="39">
        <f>SUM(G925:G928)</f>
        <v>18.3123425</v>
      </c>
      <c r="I925" s="40"/>
      <c r="J925" s="156">
        <v>0</v>
      </c>
    </row>
    <row r="926" spans="1:10" ht="15.75" hidden="1" thickBot="1" x14ac:dyDescent="0.3">
      <c r="A926" s="222"/>
      <c r="B926" s="225"/>
      <c r="C926" s="36" t="s">
        <v>333</v>
      </c>
      <c r="D926" s="47" t="s">
        <v>20</v>
      </c>
      <c r="E926" s="37">
        <v>3.6999999999999998E-2</v>
      </c>
      <c r="F926" s="34">
        <v>1.9474999999999998</v>
      </c>
      <c r="G926" s="34">
        <f t="shared" si="16"/>
        <v>7.2057499999999983E-2</v>
      </c>
      <c r="H926" s="35"/>
      <c r="I926" s="31"/>
      <c r="J926" s="156">
        <v>0</v>
      </c>
    </row>
    <row r="927" spans="1:10" ht="26.25" hidden="1" thickBot="1" x14ac:dyDescent="0.3">
      <c r="A927" s="222"/>
      <c r="B927" s="225"/>
      <c r="C927" s="36" t="s">
        <v>110</v>
      </c>
      <c r="D927" s="47" t="s">
        <v>12</v>
      </c>
      <c r="E927" s="37">
        <v>0.16500000000000001</v>
      </c>
      <c r="F927" s="31">
        <v>16.891000000000002</v>
      </c>
      <c r="G927" s="34">
        <f t="shared" si="16"/>
        <v>2.7870150000000002</v>
      </c>
      <c r="H927" s="35"/>
      <c r="I927" s="31"/>
      <c r="J927" s="156">
        <v>0</v>
      </c>
    </row>
    <row r="928" spans="1:10" ht="15.75" hidden="1" thickBot="1" x14ac:dyDescent="0.3">
      <c r="A928" s="222"/>
      <c r="B928" s="225"/>
      <c r="C928" s="36" t="s">
        <v>39</v>
      </c>
      <c r="D928" s="47" t="s">
        <v>12</v>
      </c>
      <c r="E928" s="37">
        <v>0.16500000000000001</v>
      </c>
      <c r="F928" s="31">
        <v>21.622</v>
      </c>
      <c r="G928" s="34">
        <f t="shared" si="16"/>
        <v>3.5676300000000003</v>
      </c>
      <c r="H928" s="35"/>
      <c r="I928" s="31"/>
      <c r="J928" s="156">
        <v>0</v>
      </c>
    </row>
    <row r="929" spans="1:10" ht="15.75" hidden="1" thickBot="1" x14ac:dyDescent="0.3">
      <c r="A929" s="223"/>
      <c r="B929" s="226"/>
      <c r="C929" s="36"/>
      <c r="D929" s="36"/>
      <c r="E929" s="37"/>
      <c r="F929" s="31" t="s">
        <v>572</v>
      </c>
      <c r="G929" s="31" t="str">
        <f t="shared" si="16"/>
        <v/>
      </c>
      <c r="H929" s="35"/>
      <c r="I929" s="31"/>
      <c r="J929" s="156">
        <v>0</v>
      </c>
    </row>
    <row r="930" spans="1:10" ht="15.75" hidden="1" thickBot="1" x14ac:dyDescent="0.3">
      <c r="A930" s="221" t="s">
        <v>336</v>
      </c>
      <c r="B930" s="224" t="str">
        <f>INDEX(Orçamentária!A:B,MATCH(Composições!A930,Orçamentária!A:A,0),2)</f>
        <v>Tubo PVC esgoto ou aguas pluviais predial DN 50mm</v>
      </c>
      <c r="C930" s="41"/>
      <c r="D930" s="26" t="str">
        <f>TRIM(INDEX(Orçamentária!C:C,MATCH(Composições!A930,Orçamentária!A:A,0),1))</f>
        <v>m</v>
      </c>
      <c r="E930" s="27"/>
      <c r="F930" s="42" t="s">
        <v>572</v>
      </c>
      <c r="G930" s="28" t="str">
        <f t="shared" si="16"/>
        <v/>
      </c>
      <c r="H930" s="29"/>
      <c r="I930" s="30"/>
      <c r="J930" s="156">
        <v>0</v>
      </c>
    </row>
    <row r="931" spans="1:10" ht="15.75" hidden="1" thickBot="1" x14ac:dyDescent="0.3">
      <c r="A931" s="222"/>
      <c r="B931" s="225"/>
      <c r="C931" s="32"/>
      <c r="D931" s="32"/>
      <c r="E931" s="33"/>
      <c r="F931" s="43" t="s">
        <v>572</v>
      </c>
      <c r="G931" s="31" t="str">
        <f t="shared" si="16"/>
        <v/>
      </c>
      <c r="H931" s="35"/>
      <c r="I931" s="31"/>
      <c r="J931" s="156">
        <v>0</v>
      </c>
    </row>
    <row r="932" spans="1:10" ht="15.75" hidden="1" thickBot="1" x14ac:dyDescent="0.3">
      <c r="A932" s="222"/>
      <c r="B932" s="225"/>
      <c r="C932" s="36" t="s">
        <v>330</v>
      </c>
      <c r="D932" s="47" t="s">
        <v>20</v>
      </c>
      <c r="E932" s="37">
        <v>1.2800000000000001E-2</v>
      </c>
      <c r="F932" s="34">
        <v>75.515499999999989</v>
      </c>
      <c r="G932" s="34">
        <f t="shared" si="16"/>
        <v>0.96659839999999986</v>
      </c>
      <c r="H932" s="39">
        <f>SUM(G932:G937)</f>
        <v>25.212050950000002</v>
      </c>
      <c r="I932" s="40"/>
      <c r="J932" s="156">
        <v>0</v>
      </c>
    </row>
    <row r="933" spans="1:10" ht="26.25" hidden="1" thickBot="1" x14ac:dyDescent="0.3">
      <c r="A933" s="222"/>
      <c r="B933" s="225"/>
      <c r="C933" s="36" t="s">
        <v>337</v>
      </c>
      <c r="D933" s="47" t="s">
        <v>94</v>
      </c>
      <c r="E933" s="37">
        <v>1.04</v>
      </c>
      <c r="F933" s="34">
        <v>14.25</v>
      </c>
      <c r="G933" s="34">
        <f t="shared" si="16"/>
        <v>14.82</v>
      </c>
      <c r="H933" s="35"/>
      <c r="I933" s="31"/>
      <c r="J933" s="156">
        <v>0</v>
      </c>
    </row>
    <row r="934" spans="1:10" ht="15.75" hidden="1" thickBot="1" x14ac:dyDescent="0.3">
      <c r="A934" s="222"/>
      <c r="B934" s="225"/>
      <c r="C934" s="36" t="s">
        <v>332</v>
      </c>
      <c r="D934" s="47" t="s">
        <v>20</v>
      </c>
      <c r="E934" s="37">
        <v>1.9300000000000001E-2</v>
      </c>
      <c r="F934" s="34">
        <v>65.578499999999991</v>
      </c>
      <c r="G934" s="34">
        <f t="shared" si="16"/>
        <v>1.26566505</v>
      </c>
      <c r="H934" s="35"/>
      <c r="I934" s="31"/>
      <c r="J934" s="156">
        <v>0</v>
      </c>
    </row>
    <row r="935" spans="1:10" ht="15.75" hidden="1" thickBot="1" x14ac:dyDescent="0.3">
      <c r="A935" s="222"/>
      <c r="B935" s="225"/>
      <c r="C935" s="36" t="s">
        <v>333</v>
      </c>
      <c r="D935" s="47" t="s">
        <v>20</v>
      </c>
      <c r="E935" s="37">
        <v>3.6999999999999998E-2</v>
      </c>
      <c r="F935" s="34">
        <v>1.9474999999999998</v>
      </c>
      <c r="G935" s="34">
        <f t="shared" si="16"/>
        <v>7.2057499999999983E-2</v>
      </c>
      <c r="H935" s="35"/>
      <c r="I935" s="31"/>
      <c r="J935" s="156">
        <v>0</v>
      </c>
    </row>
    <row r="936" spans="1:10" ht="26.25" hidden="1" thickBot="1" x14ac:dyDescent="0.3">
      <c r="A936" s="222"/>
      <c r="B936" s="225"/>
      <c r="C936" s="36" t="s">
        <v>110</v>
      </c>
      <c r="D936" s="47" t="s">
        <v>12</v>
      </c>
      <c r="E936" s="37">
        <v>0.21</v>
      </c>
      <c r="F936" s="31">
        <v>16.891000000000002</v>
      </c>
      <c r="G936" s="34">
        <f t="shared" si="16"/>
        <v>3.5471100000000004</v>
      </c>
      <c r="H936" s="35"/>
      <c r="I936" s="31"/>
      <c r="J936" s="156">
        <v>0</v>
      </c>
    </row>
    <row r="937" spans="1:10" ht="15.75" hidden="1" thickBot="1" x14ac:dyDescent="0.3">
      <c r="A937" s="222"/>
      <c r="B937" s="225"/>
      <c r="C937" s="36" t="s">
        <v>39</v>
      </c>
      <c r="D937" s="47" t="s">
        <v>12</v>
      </c>
      <c r="E937" s="37">
        <v>0.21</v>
      </c>
      <c r="F937" s="31">
        <v>21.622</v>
      </c>
      <c r="G937" s="34">
        <f t="shared" si="16"/>
        <v>4.5406199999999997</v>
      </c>
      <c r="H937" s="35"/>
      <c r="I937" s="31"/>
      <c r="J937" s="156">
        <v>0</v>
      </c>
    </row>
    <row r="938" spans="1:10" ht="15.75" hidden="1" thickBot="1" x14ac:dyDescent="0.3">
      <c r="A938" s="223"/>
      <c r="B938" s="226"/>
      <c r="C938" s="36"/>
      <c r="D938" s="36"/>
      <c r="E938" s="37"/>
      <c r="F938" s="31" t="s">
        <v>572</v>
      </c>
      <c r="G938" s="31" t="str">
        <f t="shared" si="16"/>
        <v/>
      </c>
      <c r="H938" s="35"/>
      <c r="I938" s="31"/>
      <c r="J938" s="156">
        <v>0</v>
      </c>
    </row>
    <row r="939" spans="1:10" ht="15.75" hidden="1" thickBot="1" x14ac:dyDescent="0.3">
      <c r="A939" s="221" t="s">
        <v>338</v>
      </c>
      <c r="B939" s="224" t="str">
        <f>INDEX(Orçamentária!A:B,MATCH(Composições!A939,Orçamentária!A:A,0),2)</f>
        <v>Tubo PVC esgoto ou aguas pluviais predial DN 75mm</v>
      </c>
      <c r="C939" s="41"/>
      <c r="D939" s="26" t="str">
        <f>TRIM(INDEX(Orçamentária!C:C,MATCH(Composições!A939,Orçamentária!A:A,0),1))</f>
        <v>m</v>
      </c>
      <c r="E939" s="27"/>
      <c r="F939" s="42" t="s">
        <v>572</v>
      </c>
      <c r="G939" s="28" t="str">
        <f t="shared" si="16"/>
        <v/>
      </c>
      <c r="H939" s="29"/>
      <c r="I939" s="30"/>
      <c r="J939" s="156">
        <v>0</v>
      </c>
    </row>
    <row r="940" spans="1:10" ht="15.75" hidden="1" thickBot="1" x14ac:dyDescent="0.3">
      <c r="A940" s="222"/>
      <c r="B940" s="225"/>
      <c r="C940" s="32"/>
      <c r="D940" s="32"/>
      <c r="E940" s="33"/>
      <c r="F940" s="43" t="s">
        <v>572</v>
      </c>
      <c r="G940" s="31" t="str">
        <f t="shared" si="16"/>
        <v/>
      </c>
      <c r="H940" s="35"/>
      <c r="I940" s="31"/>
      <c r="J940" s="156">
        <v>0</v>
      </c>
    </row>
    <row r="941" spans="1:10" ht="15.75" hidden="1" thickBot="1" x14ac:dyDescent="0.3">
      <c r="A941" s="222"/>
      <c r="B941" s="225"/>
      <c r="C941" s="36" t="s">
        <v>330</v>
      </c>
      <c r="D941" s="47" t="s">
        <v>20</v>
      </c>
      <c r="E941" s="37">
        <v>2.93E-2</v>
      </c>
      <c r="F941" s="34">
        <v>75.515499999999989</v>
      </c>
      <c r="G941" s="34">
        <f t="shared" si="16"/>
        <v>2.2126041499999998</v>
      </c>
      <c r="H941" s="39">
        <f>SUM(G941:G946)</f>
        <v>37.348534650000005</v>
      </c>
      <c r="I941" s="40"/>
      <c r="J941" s="156">
        <v>0</v>
      </c>
    </row>
    <row r="942" spans="1:10" ht="26.25" hidden="1" thickBot="1" x14ac:dyDescent="0.3">
      <c r="A942" s="222"/>
      <c r="B942" s="225"/>
      <c r="C942" s="36" t="s">
        <v>339</v>
      </c>
      <c r="D942" s="47" t="s">
        <v>94</v>
      </c>
      <c r="E942" s="37">
        <v>1.04</v>
      </c>
      <c r="F942" s="34">
        <v>18.677</v>
      </c>
      <c r="G942" s="34">
        <f t="shared" si="16"/>
        <v>19.42408</v>
      </c>
      <c r="H942" s="45"/>
      <c r="I942" s="46"/>
      <c r="J942" s="156">
        <v>0</v>
      </c>
    </row>
    <row r="943" spans="1:10" ht="15.75" hidden="1" thickBot="1" x14ac:dyDescent="0.3">
      <c r="A943" s="222"/>
      <c r="B943" s="225"/>
      <c r="C943" s="36" t="s">
        <v>332</v>
      </c>
      <c r="D943" s="47" t="s">
        <v>20</v>
      </c>
      <c r="E943" s="37">
        <v>4.5499999999999999E-2</v>
      </c>
      <c r="F943" s="34">
        <v>65.578499999999991</v>
      </c>
      <c r="G943" s="34">
        <f t="shared" si="16"/>
        <v>2.9838217499999997</v>
      </c>
      <c r="H943" s="45"/>
      <c r="I943" s="46"/>
      <c r="J943" s="156">
        <v>0</v>
      </c>
    </row>
    <row r="944" spans="1:10" ht="15.75" hidden="1" thickBot="1" x14ac:dyDescent="0.3">
      <c r="A944" s="222"/>
      <c r="B944" s="225"/>
      <c r="C944" s="36" t="s">
        <v>333</v>
      </c>
      <c r="D944" s="47" t="s">
        <v>20</v>
      </c>
      <c r="E944" s="37">
        <v>0.1085</v>
      </c>
      <c r="F944" s="34">
        <v>1.9474999999999998</v>
      </c>
      <c r="G944" s="34">
        <f t="shared" si="16"/>
        <v>0.21130374999999998</v>
      </c>
      <c r="H944" s="45"/>
      <c r="I944" s="46"/>
      <c r="J944" s="156">
        <v>0</v>
      </c>
    </row>
    <row r="945" spans="1:10" ht="26.25" hidden="1" thickBot="1" x14ac:dyDescent="0.3">
      <c r="A945" s="222"/>
      <c r="B945" s="225"/>
      <c r="C945" s="36" t="s">
        <v>110</v>
      </c>
      <c r="D945" s="47" t="s">
        <v>12</v>
      </c>
      <c r="E945" s="37">
        <v>0.32500000000000001</v>
      </c>
      <c r="F945" s="31">
        <v>16.891000000000002</v>
      </c>
      <c r="G945" s="34">
        <f t="shared" si="16"/>
        <v>5.4895750000000012</v>
      </c>
      <c r="H945" s="45"/>
      <c r="I945" s="46"/>
      <c r="J945" s="156">
        <v>0</v>
      </c>
    </row>
    <row r="946" spans="1:10" ht="15.75" hidden="1" thickBot="1" x14ac:dyDescent="0.3">
      <c r="A946" s="222"/>
      <c r="B946" s="225"/>
      <c r="C946" s="36" t="s">
        <v>39</v>
      </c>
      <c r="D946" s="47" t="s">
        <v>12</v>
      </c>
      <c r="E946" s="37">
        <v>0.32500000000000001</v>
      </c>
      <c r="F946" s="31">
        <v>21.622</v>
      </c>
      <c r="G946" s="34">
        <f t="shared" si="16"/>
        <v>7.0271499999999998</v>
      </c>
      <c r="H946" s="45"/>
      <c r="I946" s="46"/>
      <c r="J946" s="156">
        <v>0</v>
      </c>
    </row>
    <row r="947" spans="1:10" ht="15.75" hidden="1" thickBot="1" x14ac:dyDescent="0.3">
      <c r="A947" s="223"/>
      <c r="B947" s="226"/>
      <c r="C947" s="36"/>
      <c r="D947" s="36"/>
      <c r="E947" s="37"/>
      <c r="F947" s="31" t="s">
        <v>572</v>
      </c>
      <c r="G947" s="31" t="str">
        <f t="shared" si="16"/>
        <v/>
      </c>
      <c r="H947" s="35"/>
      <c r="I947" s="31"/>
      <c r="J947" s="156">
        <v>0</v>
      </c>
    </row>
    <row r="948" spans="1:10" ht="15.75" hidden="1" thickBot="1" x14ac:dyDescent="0.3">
      <c r="A948" s="221" t="s">
        <v>340</v>
      </c>
      <c r="B948" s="224" t="str">
        <f>INDEX(Orçamentária!A:B,MATCH(Composições!A948,Orçamentária!A:A,0),2)</f>
        <v>Tubo PVC soldável agua fria DN 25mm</v>
      </c>
      <c r="C948" s="41"/>
      <c r="D948" s="26" t="str">
        <f>TRIM(INDEX(Orçamentária!C:C,MATCH(Composições!A948,Orçamentária!A:A,0),1))</f>
        <v>m</v>
      </c>
      <c r="E948" s="27"/>
      <c r="F948" s="42" t="s">
        <v>572</v>
      </c>
      <c r="G948" s="28" t="str">
        <f t="shared" si="16"/>
        <v/>
      </c>
      <c r="H948" s="29"/>
      <c r="I948" s="30"/>
      <c r="J948" s="156">
        <v>0</v>
      </c>
    </row>
    <row r="949" spans="1:10" ht="15.75" hidden="1" thickBot="1" x14ac:dyDescent="0.3">
      <c r="A949" s="222"/>
      <c r="B949" s="225"/>
      <c r="C949" s="32"/>
      <c r="D949" s="32"/>
      <c r="E949" s="33"/>
      <c r="F949" s="43" t="s">
        <v>572</v>
      </c>
      <c r="G949" s="31" t="str">
        <f t="shared" si="16"/>
        <v/>
      </c>
      <c r="H949" s="35"/>
      <c r="I949" s="31"/>
      <c r="J949" s="156">
        <v>0</v>
      </c>
    </row>
    <row r="950" spans="1:10" ht="15.75" hidden="1" thickBot="1" x14ac:dyDescent="0.3">
      <c r="A950" s="222"/>
      <c r="B950" s="225"/>
      <c r="C950" s="36" t="s">
        <v>341</v>
      </c>
      <c r="D950" s="47" t="s">
        <v>94</v>
      </c>
      <c r="E950" s="37">
        <v>1.0609999999999999</v>
      </c>
      <c r="F950" s="34">
        <v>3.8474999999999997</v>
      </c>
      <c r="G950" s="34">
        <f t="shared" si="16"/>
        <v>4.0821974999999995</v>
      </c>
      <c r="H950" s="39">
        <f>SUM(G950:G952)</f>
        <v>4.6984054999999989</v>
      </c>
      <c r="I950" s="40"/>
      <c r="J950" s="156">
        <v>0</v>
      </c>
    </row>
    <row r="951" spans="1:10" ht="26.25" hidden="1" thickBot="1" x14ac:dyDescent="0.3">
      <c r="A951" s="222"/>
      <c r="B951" s="225"/>
      <c r="C951" s="36" t="s">
        <v>110</v>
      </c>
      <c r="D951" s="36" t="s">
        <v>12</v>
      </c>
      <c r="E951" s="37">
        <v>1.6E-2</v>
      </c>
      <c r="F951" s="31">
        <v>16.891000000000002</v>
      </c>
      <c r="G951" s="34">
        <f t="shared" si="16"/>
        <v>0.27025600000000005</v>
      </c>
      <c r="H951" s="35"/>
      <c r="I951" s="31"/>
      <c r="J951" s="156">
        <v>0</v>
      </c>
    </row>
    <row r="952" spans="1:10" ht="15.75" hidden="1" thickBot="1" x14ac:dyDescent="0.3">
      <c r="A952" s="222"/>
      <c r="B952" s="225"/>
      <c r="C952" s="36" t="s">
        <v>39</v>
      </c>
      <c r="D952" s="47" t="s">
        <v>12</v>
      </c>
      <c r="E952" s="37">
        <v>1.6E-2</v>
      </c>
      <c r="F952" s="31">
        <v>21.622</v>
      </c>
      <c r="G952" s="34">
        <f t="shared" si="16"/>
        <v>0.34595199999999998</v>
      </c>
      <c r="H952" s="35"/>
      <c r="I952" s="31"/>
      <c r="J952" s="156">
        <v>0</v>
      </c>
    </row>
    <row r="953" spans="1:10" ht="15.75" hidden="1" thickBot="1" x14ac:dyDescent="0.3">
      <c r="A953" s="223"/>
      <c r="B953" s="226"/>
      <c r="C953" s="36"/>
      <c r="D953" s="36"/>
      <c r="E953" s="37"/>
      <c r="F953" s="31" t="s">
        <v>572</v>
      </c>
      <c r="G953" s="31" t="str">
        <f t="shared" si="16"/>
        <v/>
      </c>
      <c r="H953" s="35"/>
      <c r="I953" s="31"/>
      <c r="J953" s="156">
        <v>0</v>
      </c>
    </row>
    <row r="954" spans="1:10" ht="15.75" hidden="1" thickBot="1" x14ac:dyDescent="0.3">
      <c r="A954" s="221" t="s">
        <v>342</v>
      </c>
      <c r="B954" s="224" t="str">
        <f>INDEX(Orçamentária!A:B,MATCH(Composições!A954,Orçamentária!A:A,0),2)</f>
        <v>Tubo PVC soldável agua fria DN 32mm</v>
      </c>
      <c r="C954" s="41"/>
      <c r="D954" s="26" t="str">
        <f>TRIM(INDEX(Orçamentária!C:C,MATCH(Composições!A954,Orçamentária!A:A,0),1))</f>
        <v>m</v>
      </c>
      <c r="E954" s="27"/>
      <c r="F954" s="42" t="s">
        <v>572</v>
      </c>
      <c r="G954" s="28" t="str">
        <f t="shared" si="16"/>
        <v/>
      </c>
      <c r="H954" s="29"/>
      <c r="I954" s="30"/>
      <c r="J954" s="156">
        <v>0</v>
      </c>
    </row>
    <row r="955" spans="1:10" ht="15.75" hidden="1" thickBot="1" x14ac:dyDescent="0.3">
      <c r="A955" s="222"/>
      <c r="B955" s="225"/>
      <c r="C955" s="32"/>
      <c r="D955" s="32"/>
      <c r="E955" s="33"/>
      <c r="F955" s="43" t="s">
        <v>572</v>
      </c>
      <c r="G955" s="31" t="str">
        <f t="shared" si="16"/>
        <v/>
      </c>
      <c r="H955" s="35"/>
      <c r="I955" s="31"/>
      <c r="J955" s="156">
        <v>0</v>
      </c>
    </row>
    <row r="956" spans="1:10" ht="15.75" hidden="1" thickBot="1" x14ac:dyDescent="0.3">
      <c r="A956" s="222"/>
      <c r="B956" s="225"/>
      <c r="C956" s="36" t="s">
        <v>343</v>
      </c>
      <c r="D956" s="47" t="s">
        <v>94</v>
      </c>
      <c r="E956" s="37">
        <v>1.0609999999999999</v>
      </c>
      <c r="F956" s="34">
        <v>8.6354999999999986</v>
      </c>
      <c r="G956" s="34">
        <f t="shared" si="16"/>
        <v>9.1622654999999984</v>
      </c>
      <c r="H956" s="39">
        <f>SUM(G956:G958)</f>
        <v>9.9325254999999988</v>
      </c>
      <c r="I956" s="40"/>
      <c r="J956" s="156">
        <v>0</v>
      </c>
    </row>
    <row r="957" spans="1:10" ht="26.25" hidden="1" thickBot="1" x14ac:dyDescent="0.3">
      <c r="A957" s="222"/>
      <c r="B957" s="225"/>
      <c r="C957" s="36" t="s">
        <v>110</v>
      </c>
      <c r="D957" s="36" t="s">
        <v>12</v>
      </c>
      <c r="E957" s="37">
        <v>0.02</v>
      </c>
      <c r="F957" s="31">
        <v>16.891000000000002</v>
      </c>
      <c r="G957" s="34">
        <f t="shared" si="16"/>
        <v>0.33782000000000006</v>
      </c>
      <c r="H957" s="35"/>
      <c r="I957" s="31"/>
      <c r="J957" s="156">
        <v>0</v>
      </c>
    </row>
    <row r="958" spans="1:10" ht="15.75" hidden="1" thickBot="1" x14ac:dyDescent="0.3">
      <c r="A958" s="222"/>
      <c r="B958" s="225"/>
      <c r="C958" s="36" t="s">
        <v>39</v>
      </c>
      <c r="D958" s="47" t="s">
        <v>12</v>
      </c>
      <c r="E958" s="37">
        <v>0.02</v>
      </c>
      <c r="F958" s="31">
        <v>21.622</v>
      </c>
      <c r="G958" s="34">
        <f t="shared" si="16"/>
        <v>0.43243999999999999</v>
      </c>
      <c r="H958" s="35"/>
      <c r="I958" s="31"/>
      <c r="J958" s="156">
        <v>0</v>
      </c>
    </row>
    <row r="959" spans="1:10" ht="15.75" hidden="1" thickBot="1" x14ac:dyDescent="0.3">
      <c r="A959" s="223"/>
      <c r="B959" s="226"/>
      <c r="C959" s="36"/>
      <c r="D959" s="36"/>
      <c r="E959" s="37"/>
      <c r="F959" s="31" t="s">
        <v>572</v>
      </c>
      <c r="G959" s="31" t="str">
        <f t="shared" si="16"/>
        <v/>
      </c>
      <c r="H959" s="35"/>
      <c r="I959" s="31"/>
      <c r="J959" s="156">
        <v>0</v>
      </c>
    </row>
    <row r="960" spans="1:10" ht="15.75" hidden="1" thickBot="1" x14ac:dyDescent="0.3">
      <c r="A960" s="221" t="s">
        <v>344</v>
      </c>
      <c r="B960" s="224" t="str">
        <f>INDEX(Orçamentária!A:B,MATCH(Composições!A960,Orçamentária!A:A,0),2)</f>
        <v>Tubo PVC soldável agua fria DN 40mm</v>
      </c>
      <c r="C960" s="41"/>
      <c r="D960" s="26" t="str">
        <f>TRIM(INDEX(Orçamentária!C:C,MATCH(Composições!A960,Orçamentária!A:A,0),1))</f>
        <v>m</v>
      </c>
      <c r="E960" s="27"/>
      <c r="F960" s="42" t="s">
        <v>572</v>
      </c>
      <c r="G960" s="28" t="str">
        <f t="shared" si="16"/>
        <v/>
      </c>
      <c r="H960" s="29"/>
      <c r="I960" s="30"/>
      <c r="J960" s="156">
        <v>0</v>
      </c>
    </row>
    <row r="961" spans="1:10" ht="15.75" hidden="1" thickBot="1" x14ac:dyDescent="0.3">
      <c r="A961" s="222"/>
      <c r="B961" s="225"/>
      <c r="C961" s="32"/>
      <c r="D961" s="32"/>
      <c r="E961" s="33"/>
      <c r="F961" s="43" t="s">
        <v>572</v>
      </c>
      <c r="G961" s="31" t="str">
        <f t="shared" si="16"/>
        <v/>
      </c>
      <c r="H961" s="35"/>
      <c r="I961" s="31"/>
      <c r="J961" s="156">
        <v>0</v>
      </c>
    </row>
    <row r="962" spans="1:10" ht="15.75" hidden="1" thickBot="1" x14ac:dyDescent="0.3">
      <c r="A962" s="222"/>
      <c r="B962" s="225"/>
      <c r="C962" s="36" t="s">
        <v>345</v>
      </c>
      <c r="D962" s="47" t="s">
        <v>94</v>
      </c>
      <c r="E962" s="37">
        <v>1.0609999999999999</v>
      </c>
      <c r="F962" s="34">
        <v>12.577999999999999</v>
      </c>
      <c r="G962" s="34">
        <f t="shared" si="16"/>
        <v>13.345257999999999</v>
      </c>
      <c r="H962" s="39">
        <f>SUM(G962:G965)</f>
        <v>14.28515</v>
      </c>
      <c r="I962" s="40"/>
      <c r="J962" s="156">
        <v>0</v>
      </c>
    </row>
    <row r="963" spans="1:10" ht="15.75" hidden="1" thickBot="1" x14ac:dyDescent="0.3">
      <c r="A963" s="222"/>
      <c r="B963" s="225"/>
      <c r="C963" s="36" t="s">
        <v>333</v>
      </c>
      <c r="D963" s="47" t="s">
        <v>20</v>
      </c>
      <c r="E963" s="37">
        <v>8.0000000000000002E-3</v>
      </c>
      <c r="F963" s="34">
        <v>1.9474999999999998</v>
      </c>
      <c r="G963" s="34">
        <f t="shared" si="16"/>
        <v>1.5579999999999998E-2</v>
      </c>
      <c r="H963" s="35"/>
      <c r="I963" s="31"/>
      <c r="J963" s="156">
        <v>0</v>
      </c>
    </row>
    <row r="964" spans="1:10" ht="26.25" hidden="1" thickBot="1" x14ac:dyDescent="0.3">
      <c r="A964" s="222"/>
      <c r="B964" s="225"/>
      <c r="C964" s="36" t="s">
        <v>110</v>
      </c>
      <c r="D964" s="36" t="s">
        <v>12</v>
      </c>
      <c r="E964" s="37">
        <v>2.4E-2</v>
      </c>
      <c r="F964" s="31">
        <v>16.891000000000002</v>
      </c>
      <c r="G964" s="34">
        <f t="shared" si="16"/>
        <v>0.40538400000000008</v>
      </c>
      <c r="H964" s="35"/>
      <c r="I964" s="31"/>
      <c r="J964" s="156">
        <v>0</v>
      </c>
    </row>
    <row r="965" spans="1:10" ht="15.75" hidden="1" thickBot="1" x14ac:dyDescent="0.3">
      <c r="A965" s="222"/>
      <c r="B965" s="225"/>
      <c r="C965" s="36" t="s">
        <v>39</v>
      </c>
      <c r="D965" s="47" t="s">
        <v>12</v>
      </c>
      <c r="E965" s="37">
        <v>2.4E-2</v>
      </c>
      <c r="F965" s="31">
        <v>21.622</v>
      </c>
      <c r="G965" s="34">
        <f t="shared" si="16"/>
        <v>0.51892800000000006</v>
      </c>
      <c r="H965" s="35"/>
      <c r="I965" s="31"/>
      <c r="J965" s="156">
        <v>0</v>
      </c>
    </row>
    <row r="966" spans="1:10" ht="15.75" hidden="1" thickBot="1" x14ac:dyDescent="0.3">
      <c r="A966" s="223"/>
      <c r="B966" s="226"/>
      <c r="C966" s="36"/>
      <c r="D966" s="36"/>
      <c r="E966" s="37"/>
      <c r="F966" s="31" t="s">
        <v>572</v>
      </c>
      <c r="G966" s="31" t="str">
        <f t="shared" si="16"/>
        <v/>
      </c>
      <c r="H966" s="35"/>
      <c r="I966" s="31"/>
      <c r="J966" s="156">
        <v>0</v>
      </c>
    </row>
    <row r="967" spans="1:10" ht="15.75" hidden="1" thickBot="1" x14ac:dyDescent="0.3">
      <c r="A967" s="221" t="s">
        <v>346</v>
      </c>
      <c r="B967" s="224" t="str">
        <f>INDEX(Orçamentária!A:B,MATCH(Composições!A967,Orçamentária!A:A,0),2)</f>
        <v>Tubo PVC soldável agua fria DN 50mm</v>
      </c>
      <c r="C967" s="41"/>
      <c r="D967" s="26" t="str">
        <f>TRIM(INDEX(Orçamentária!C:C,MATCH(Composições!A967,Orçamentária!A:A,0),1))</f>
        <v>m</v>
      </c>
      <c r="E967" s="27"/>
      <c r="F967" s="42" t="s">
        <v>572</v>
      </c>
      <c r="G967" s="28" t="str">
        <f t="shared" si="16"/>
        <v/>
      </c>
      <c r="H967" s="29"/>
      <c r="I967" s="30"/>
      <c r="J967" s="156">
        <v>0</v>
      </c>
    </row>
    <row r="968" spans="1:10" ht="15.75" hidden="1" thickBot="1" x14ac:dyDescent="0.3">
      <c r="A968" s="222"/>
      <c r="B968" s="225"/>
      <c r="C968" s="32"/>
      <c r="D968" s="32"/>
      <c r="E968" s="33"/>
      <c r="F968" s="43" t="s">
        <v>572</v>
      </c>
      <c r="G968" s="31" t="str">
        <f t="shared" si="16"/>
        <v/>
      </c>
      <c r="H968" s="35"/>
      <c r="I968" s="31"/>
      <c r="J968" s="156">
        <v>0</v>
      </c>
    </row>
    <row r="969" spans="1:10" ht="15.75" hidden="1" thickBot="1" x14ac:dyDescent="0.3">
      <c r="A969" s="222"/>
      <c r="B969" s="225"/>
      <c r="C969" s="36" t="s">
        <v>347</v>
      </c>
      <c r="D969" s="47" t="s">
        <v>94</v>
      </c>
      <c r="E969" s="37">
        <v>1.0609999999999999</v>
      </c>
      <c r="F969" s="34">
        <v>14.411499999999998</v>
      </c>
      <c r="G969" s="34">
        <f t="shared" si="16"/>
        <v>15.290601499999998</v>
      </c>
      <c r="H969" s="39">
        <f>SUM(G969:G972)</f>
        <v>16.426953499999996</v>
      </c>
      <c r="I969" s="40"/>
      <c r="J969" s="156">
        <v>0</v>
      </c>
    </row>
    <row r="970" spans="1:10" ht="15.75" hidden="1" thickBot="1" x14ac:dyDescent="0.3">
      <c r="A970" s="222"/>
      <c r="B970" s="225"/>
      <c r="C970" s="36" t="s">
        <v>333</v>
      </c>
      <c r="D970" s="47" t="s">
        <v>20</v>
      </c>
      <c r="E970" s="37">
        <v>0.01</v>
      </c>
      <c r="F970" s="34">
        <v>1.9474999999999998</v>
      </c>
      <c r="G970" s="34">
        <f t="shared" si="16"/>
        <v>1.9474999999999999E-2</v>
      </c>
      <c r="H970" s="35"/>
      <c r="I970" s="31"/>
      <c r="J970" s="156">
        <v>0</v>
      </c>
    </row>
    <row r="971" spans="1:10" ht="26.25" hidden="1" thickBot="1" x14ac:dyDescent="0.3">
      <c r="A971" s="222"/>
      <c r="B971" s="225"/>
      <c r="C971" s="36" t="s">
        <v>110</v>
      </c>
      <c r="D971" s="36" t="s">
        <v>12</v>
      </c>
      <c r="E971" s="37">
        <v>2.9000000000000001E-2</v>
      </c>
      <c r="F971" s="31">
        <v>16.891000000000002</v>
      </c>
      <c r="G971" s="34">
        <f t="shared" si="16"/>
        <v>0.48983900000000008</v>
      </c>
      <c r="H971" s="35"/>
      <c r="I971" s="31"/>
      <c r="J971" s="156">
        <v>0</v>
      </c>
    </row>
    <row r="972" spans="1:10" ht="15.75" hidden="1" thickBot="1" x14ac:dyDescent="0.3">
      <c r="A972" s="222"/>
      <c r="B972" s="225"/>
      <c r="C972" s="36" t="s">
        <v>39</v>
      </c>
      <c r="D972" s="47" t="s">
        <v>12</v>
      </c>
      <c r="E972" s="37">
        <v>2.9000000000000001E-2</v>
      </c>
      <c r="F972" s="31">
        <v>21.622</v>
      </c>
      <c r="G972" s="34">
        <f t="shared" si="16"/>
        <v>0.62703799999999998</v>
      </c>
      <c r="H972" s="35"/>
      <c r="I972" s="31"/>
      <c r="J972" s="156">
        <v>0</v>
      </c>
    </row>
    <row r="973" spans="1:10" ht="15.75" hidden="1" thickBot="1" x14ac:dyDescent="0.3">
      <c r="A973" s="223"/>
      <c r="B973" s="226"/>
      <c r="C973" s="36"/>
      <c r="D973" s="36"/>
      <c r="E973" s="37"/>
      <c r="F973" s="31" t="s">
        <v>572</v>
      </c>
      <c r="G973" s="31" t="str">
        <f t="shared" si="16"/>
        <v/>
      </c>
      <c r="H973" s="35"/>
      <c r="I973" s="31"/>
      <c r="J973" s="156">
        <v>0</v>
      </c>
    </row>
    <row r="974" spans="1:10" ht="15.75" hidden="1" thickBot="1" x14ac:dyDescent="0.3">
      <c r="A974" s="221" t="s">
        <v>348</v>
      </c>
      <c r="B974" s="224" t="str">
        <f>INDEX(Orçamentária!A:B,MATCH(Composições!A974,Orçamentária!A:A,0),2)</f>
        <v>Base registro gaveta 3/4"</v>
      </c>
      <c r="C974" s="41"/>
      <c r="D974" s="26" t="str">
        <f>TRIM(INDEX(Orçamentária!C:C,MATCH(Composições!A974,Orçamentária!A:A,0),1))</f>
        <v>un</v>
      </c>
      <c r="E974" s="27"/>
      <c r="F974" s="42" t="s">
        <v>572</v>
      </c>
      <c r="G974" s="28" t="str">
        <f t="shared" si="16"/>
        <v/>
      </c>
      <c r="H974" s="29"/>
      <c r="I974" s="30"/>
      <c r="J974" s="156">
        <v>0</v>
      </c>
    </row>
    <row r="975" spans="1:10" ht="15.75" hidden="1" thickBot="1" x14ac:dyDescent="0.3">
      <c r="A975" s="222"/>
      <c r="B975" s="225"/>
      <c r="C975" s="32"/>
      <c r="D975" s="32"/>
      <c r="E975" s="33"/>
      <c r="F975" s="43" t="s">
        <v>572</v>
      </c>
      <c r="G975" s="31" t="str">
        <f t="shared" si="16"/>
        <v/>
      </c>
      <c r="H975" s="35"/>
      <c r="I975" s="31"/>
      <c r="J975" s="156">
        <v>0</v>
      </c>
    </row>
    <row r="976" spans="1:10" ht="26.25" hidden="1" thickBot="1" x14ac:dyDescent="0.3">
      <c r="A976" s="222"/>
      <c r="B976" s="225"/>
      <c r="C976" s="36" t="s">
        <v>349</v>
      </c>
      <c r="D976" s="47" t="s">
        <v>150</v>
      </c>
      <c r="E976" s="37">
        <v>1</v>
      </c>
      <c r="F976" s="34" t="s">
        <v>572</v>
      </c>
      <c r="G976" s="34" t="str">
        <f t="shared" si="16"/>
        <v/>
      </c>
      <c r="H976" s="39">
        <f>SUM(G976:G979)</f>
        <v>10.549123000000002</v>
      </c>
      <c r="I976" s="40"/>
      <c r="J976" s="156">
        <v>0</v>
      </c>
    </row>
    <row r="977" spans="1:10" ht="15.75" hidden="1" thickBot="1" x14ac:dyDescent="0.3">
      <c r="A977" s="222"/>
      <c r="B977" s="225"/>
      <c r="C977" s="36" t="s">
        <v>350</v>
      </c>
      <c r="D977" s="47" t="s">
        <v>299</v>
      </c>
      <c r="E977" s="37">
        <v>1.2999999999999999E-2</v>
      </c>
      <c r="F977" s="34">
        <v>13.661</v>
      </c>
      <c r="G977" s="34">
        <f t="shared" si="16"/>
        <v>0.17759299999999997</v>
      </c>
      <c r="H977" s="35"/>
      <c r="I977" s="31"/>
      <c r="J977" s="156">
        <v>0</v>
      </c>
    </row>
    <row r="978" spans="1:10" ht="15.75" hidden="1" thickBot="1" x14ac:dyDescent="0.3">
      <c r="A978" s="222"/>
      <c r="B978" s="225"/>
      <c r="C978" s="36" t="s">
        <v>39</v>
      </c>
      <c r="D978" s="47" t="s">
        <v>12</v>
      </c>
      <c r="E978" s="37">
        <v>0.3</v>
      </c>
      <c r="F978" s="31">
        <v>21.622</v>
      </c>
      <c r="G978" s="34">
        <f t="shared" si="16"/>
        <v>6.4866000000000001</v>
      </c>
      <c r="H978" s="35"/>
      <c r="I978" s="31"/>
      <c r="J978" s="156">
        <v>0</v>
      </c>
    </row>
    <row r="979" spans="1:10" ht="26.25" hidden="1" thickBot="1" x14ac:dyDescent="0.3">
      <c r="A979" s="222"/>
      <c r="B979" s="225"/>
      <c r="C979" s="36" t="s">
        <v>110</v>
      </c>
      <c r="D979" s="47" t="s">
        <v>12</v>
      </c>
      <c r="E979" s="37">
        <v>0.23</v>
      </c>
      <c r="F979" s="31">
        <v>16.891000000000002</v>
      </c>
      <c r="G979" s="34">
        <f t="shared" si="16"/>
        <v>3.8849300000000007</v>
      </c>
      <c r="H979" s="35"/>
      <c r="I979" s="31"/>
      <c r="J979" s="156">
        <v>0</v>
      </c>
    </row>
    <row r="980" spans="1:10" ht="15.75" hidden="1" thickBot="1" x14ac:dyDescent="0.3">
      <c r="A980" s="223"/>
      <c r="B980" s="226"/>
      <c r="C980" s="36"/>
      <c r="D980" s="36"/>
      <c r="E980" s="37"/>
      <c r="F980" s="31" t="s">
        <v>572</v>
      </c>
      <c r="G980" s="31" t="str">
        <f t="shared" si="16"/>
        <v/>
      </c>
      <c r="H980" s="35"/>
      <c r="I980" s="31"/>
      <c r="J980" s="156">
        <v>0</v>
      </c>
    </row>
    <row r="981" spans="1:10" ht="15.75" hidden="1" thickBot="1" x14ac:dyDescent="0.3">
      <c r="A981" s="221" t="s">
        <v>351</v>
      </c>
      <c r="B981" s="224" t="str">
        <f>INDEX(Orçamentária!A:B,MATCH(Composições!A981,Orçamentária!A:A,0),2)</f>
        <v>Caixa sifonada de PVC DN 150mm</v>
      </c>
      <c r="C981" s="41"/>
      <c r="D981" s="26" t="str">
        <f>TRIM(INDEX(Orçamentária!C:C,MATCH(Composições!A981,Orçamentária!A:A,0),1))</f>
        <v>un</v>
      </c>
      <c r="E981" s="27"/>
      <c r="F981" s="42" t="s">
        <v>572</v>
      </c>
      <c r="G981" s="28" t="str">
        <f t="shared" ref="G981:G1044" si="17">IF(ISNUMBER(F981),E981*F981,"")</f>
        <v/>
      </c>
      <c r="H981" s="29"/>
      <c r="I981" s="30"/>
      <c r="J981" s="156">
        <v>0</v>
      </c>
    </row>
    <row r="982" spans="1:10" ht="15.75" hidden="1" thickBot="1" x14ac:dyDescent="0.3">
      <c r="A982" s="222"/>
      <c r="B982" s="225"/>
      <c r="C982" s="32"/>
      <c r="D982" s="32"/>
      <c r="E982" s="33"/>
      <c r="F982" s="43" t="s">
        <v>572</v>
      </c>
      <c r="G982" s="31" t="str">
        <f t="shared" si="17"/>
        <v/>
      </c>
      <c r="H982" s="35"/>
      <c r="I982" s="31"/>
      <c r="J982" s="156">
        <v>0</v>
      </c>
    </row>
    <row r="983" spans="1:10" ht="26.25" hidden="1" thickBot="1" x14ac:dyDescent="0.3">
      <c r="A983" s="222"/>
      <c r="B983" s="225"/>
      <c r="C983" s="36" t="s">
        <v>110</v>
      </c>
      <c r="D983" s="47" t="s">
        <v>12</v>
      </c>
      <c r="E983" s="37">
        <v>0.38</v>
      </c>
      <c r="F983" s="31">
        <v>16.891000000000002</v>
      </c>
      <c r="G983" s="34">
        <f t="shared" si="17"/>
        <v>6.4185800000000004</v>
      </c>
      <c r="H983" s="39">
        <f>SUM(G983:G990)</f>
        <v>75.139943149999993</v>
      </c>
      <c r="I983" s="40"/>
      <c r="J983" s="156">
        <v>0</v>
      </c>
    </row>
    <row r="984" spans="1:10" ht="15.75" hidden="1" thickBot="1" x14ac:dyDescent="0.3">
      <c r="A984" s="222"/>
      <c r="B984" s="225"/>
      <c r="C984" s="36" t="s">
        <v>39</v>
      </c>
      <c r="D984" s="47" t="s">
        <v>12</v>
      </c>
      <c r="E984" s="37">
        <v>0.38</v>
      </c>
      <c r="F984" s="31">
        <v>21.622</v>
      </c>
      <c r="G984" s="34">
        <f t="shared" si="17"/>
        <v>8.2163599999999999</v>
      </c>
      <c r="H984" s="35"/>
      <c r="I984" s="31"/>
      <c r="J984" s="156">
        <v>0</v>
      </c>
    </row>
    <row r="985" spans="1:10" ht="15.75" hidden="1" thickBot="1" x14ac:dyDescent="0.3">
      <c r="A985" s="222"/>
      <c r="B985" s="225"/>
      <c r="C985" s="36" t="s">
        <v>330</v>
      </c>
      <c r="D985" s="47" t="s">
        <v>20</v>
      </c>
      <c r="E985" s="37">
        <v>1.4800000000000001E-2</v>
      </c>
      <c r="F985" s="34">
        <v>75.515499999999989</v>
      </c>
      <c r="G985" s="34">
        <f t="shared" si="17"/>
        <v>1.1176293999999998</v>
      </c>
      <c r="H985" s="35"/>
      <c r="I985" s="31"/>
      <c r="J985" s="156">
        <v>0</v>
      </c>
    </row>
    <row r="986" spans="1:10" ht="15.75" hidden="1" thickBot="1" x14ac:dyDescent="0.3">
      <c r="A986" s="222"/>
      <c r="B986" s="225"/>
      <c r="C986" s="36" t="s">
        <v>352</v>
      </c>
      <c r="D986" s="47" t="s">
        <v>20</v>
      </c>
      <c r="E986" s="37">
        <v>1</v>
      </c>
      <c r="F986" s="34">
        <v>2.1564999999999999</v>
      </c>
      <c r="G986" s="34">
        <f t="shared" si="17"/>
        <v>2.1564999999999999</v>
      </c>
      <c r="H986" s="35"/>
      <c r="I986" s="31"/>
      <c r="J986" s="156">
        <v>0</v>
      </c>
    </row>
    <row r="987" spans="1:10" ht="15.75" hidden="1" thickBot="1" x14ac:dyDescent="0.3">
      <c r="A987" s="222"/>
      <c r="B987" s="225"/>
      <c r="C987" s="36" t="s">
        <v>333</v>
      </c>
      <c r="D987" s="47" t="s">
        <v>20</v>
      </c>
      <c r="E987" s="37">
        <v>5.7000000000000002E-2</v>
      </c>
      <c r="F987" s="34">
        <v>1.9474999999999998</v>
      </c>
      <c r="G987" s="34">
        <f t="shared" si="17"/>
        <v>0.1110075</v>
      </c>
      <c r="H987" s="35"/>
      <c r="I987" s="31"/>
      <c r="J987" s="156">
        <v>0</v>
      </c>
    </row>
    <row r="988" spans="1:10" ht="15.75" hidden="1" thickBot="1" x14ac:dyDescent="0.3">
      <c r="A988" s="222"/>
      <c r="B988" s="225"/>
      <c r="C988" s="36" t="s">
        <v>353</v>
      </c>
      <c r="D988" s="47" t="s">
        <v>20</v>
      </c>
      <c r="E988" s="37">
        <v>1</v>
      </c>
      <c r="F988" s="34">
        <v>54.814999999999998</v>
      </c>
      <c r="G988" s="34">
        <f t="shared" si="17"/>
        <v>54.814999999999998</v>
      </c>
      <c r="H988" s="35"/>
      <c r="I988" s="31"/>
      <c r="J988" s="156">
        <v>0</v>
      </c>
    </row>
    <row r="989" spans="1:10" ht="26.25" hidden="1" thickBot="1" x14ac:dyDescent="0.3">
      <c r="A989" s="222"/>
      <c r="B989" s="225"/>
      <c r="C989" s="36" t="s">
        <v>354</v>
      </c>
      <c r="D989" s="47" t="s">
        <v>20</v>
      </c>
      <c r="E989" s="37">
        <v>0.03</v>
      </c>
      <c r="F989" s="34">
        <v>27.645</v>
      </c>
      <c r="G989" s="34">
        <f t="shared" si="17"/>
        <v>0.82934999999999992</v>
      </c>
      <c r="H989" s="35"/>
      <c r="I989" s="31"/>
      <c r="J989" s="156">
        <v>0</v>
      </c>
    </row>
    <row r="990" spans="1:10" ht="15.75" hidden="1" thickBot="1" x14ac:dyDescent="0.3">
      <c r="A990" s="222"/>
      <c r="B990" s="225"/>
      <c r="C990" s="36" t="s">
        <v>332</v>
      </c>
      <c r="D990" s="47" t="s">
        <v>20</v>
      </c>
      <c r="E990" s="37">
        <v>2.2499999999999999E-2</v>
      </c>
      <c r="F990" s="34">
        <v>65.578499999999991</v>
      </c>
      <c r="G990" s="34">
        <f t="shared" si="17"/>
        <v>1.4755162499999996</v>
      </c>
      <c r="H990" s="35"/>
      <c r="I990" s="31"/>
      <c r="J990" s="156">
        <v>0</v>
      </c>
    </row>
    <row r="991" spans="1:10" ht="15.75" hidden="1" thickBot="1" x14ac:dyDescent="0.3">
      <c r="A991" s="223"/>
      <c r="B991" s="226"/>
      <c r="C991" s="36"/>
      <c r="D991" s="36"/>
      <c r="E991" s="37"/>
      <c r="F991" s="31" t="s">
        <v>572</v>
      </c>
      <c r="G991" s="31" t="str">
        <f t="shared" si="17"/>
        <v/>
      </c>
      <c r="H991" s="35"/>
      <c r="I991" s="31"/>
      <c r="J991" s="156">
        <v>0</v>
      </c>
    </row>
    <row r="992" spans="1:10" ht="15.75" hidden="1" thickBot="1" x14ac:dyDescent="0.3">
      <c r="A992" s="221" t="s">
        <v>355</v>
      </c>
      <c r="B992" s="224" t="str">
        <f>INDEX(Orçamentária!A:B,MATCH(Composições!A992,Orçamentária!A:A,0),2)</f>
        <v>Caixa sifonada de PVC DN 250mm</v>
      </c>
      <c r="C992" s="41"/>
      <c r="D992" s="26" t="str">
        <f>TRIM(INDEX(Orçamentária!C:C,MATCH(Composições!A992,Orçamentária!A:A,0),1))</f>
        <v>un</v>
      </c>
      <c r="E992" s="27"/>
      <c r="F992" s="42" t="s">
        <v>572</v>
      </c>
      <c r="G992" s="28" t="str">
        <f t="shared" si="17"/>
        <v/>
      </c>
      <c r="H992" s="29"/>
      <c r="I992" s="30"/>
      <c r="J992" s="156">
        <v>0</v>
      </c>
    </row>
    <row r="993" spans="1:10" ht="15.75" hidden="1" thickBot="1" x14ac:dyDescent="0.3">
      <c r="A993" s="222"/>
      <c r="B993" s="225"/>
      <c r="C993" s="32"/>
      <c r="D993" s="32"/>
      <c r="E993" s="33"/>
      <c r="F993" s="43" t="s">
        <v>572</v>
      </c>
      <c r="G993" s="31" t="str">
        <f t="shared" si="17"/>
        <v/>
      </c>
      <c r="H993" s="35"/>
      <c r="I993" s="31"/>
      <c r="J993" s="156">
        <v>0</v>
      </c>
    </row>
    <row r="994" spans="1:10" ht="26.25" hidden="1" thickBot="1" x14ac:dyDescent="0.3">
      <c r="A994" s="222"/>
      <c r="B994" s="225"/>
      <c r="C994" s="36" t="s">
        <v>110</v>
      </c>
      <c r="D994" s="47" t="s">
        <v>12</v>
      </c>
      <c r="E994" s="37">
        <v>0.38</v>
      </c>
      <c r="F994" s="31">
        <v>16.891000000000002</v>
      </c>
      <c r="G994" s="31">
        <f t="shared" si="17"/>
        <v>6.4185800000000004</v>
      </c>
      <c r="H994" s="39">
        <f>SUM(G994:G1001)</f>
        <v>133.69794315000001</v>
      </c>
      <c r="I994" s="40"/>
      <c r="J994" s="156">
        <v>0</v>
      </c>
    </row>
    <row r="995" spans="1:10" ht="15.75" hidden="1" thickBot="1" x14ac:dyDescent="0.3">
      <c r="A995" s="222"/>
      <c r="B995" s="225"/>
      <c r="C995" s="36" t="s">
        <v>39</v>
      </c>
      <c r="D995" s="47" t="s">
        <v>12</v>
      </c>
      <c r="E995" s="37">
        <v>0.38</v>
      </c>
      <c r="F995" s="31">
        <v>21.622</v>
      </c>
      <c r="G995" s="31">
        <f t="shared" si="17"/>
        <v>8.2163599999999999</v>
      </c>
      <c r="H995" s="35"/>
      <c r="I995" s="31"/>
      <c r="J995" s="156">
        <v>0</v>
      </c>
    </row>
    <row r="996" spans="1:10" ht="15.75" hidden="1" thickBot="1" x14ac:dyDescent="0.3">
      <c r="A996" s="222"/>
      <c r="B996" s="225"/>
      <c r="C996" s="36" t="s">
        <v>330</v>
      </c>
      <c r="D996" s="47" t="s">
        <v>20</v>
      </c>
      <c r="E996" s="37">
        <v>1.4800000000000001E-2</v>
      </c>
      <c r="F996" s="34">
        <v>75.515499999999989</v>
      </c>
      <c r="G996" s="31">
        <f t="shared" si="17"/>
        <v>1.1176293999999998</v>
      </c>
      <c r="H996" s="35"/>
      <c r="I996" s="31"/>
      <c r="J996" s="156">
        <v>0</v>
      </c>
    </row>
    <row r="997" spans="1:10" ht="15.75" hidden="1" thickBot="1" x14ac:dyDescent="0.3">
      <c r="A997" s="222"/>
      <c r="B997" s="225"/>
      <c r="C997" s="36" t="s">
        <v>352</v>
      </c>
      <c r="D997" s="47" t="s">
        <v>20</v>
      </c>
      <c r="E997" s="37">
        <v>1</v>
      </c>
      <c r="F997" s="34">
        <v>2.1564999999999999</v>
      </c>
      <c r="G997" s="31">
        <f t="shared" si="17"/>
        <v>2.1564999999999999</v>
      </c>
      <c r="H997" s="35"/>
      <c r="I997" s="31"/>
      <c r="J997" s="156">
        <v>0</v>
      </c>
    </row>
    <row r="998" spans="1:10" ht="15.75" hidden="1" thickBot="1" x14ac:dyDescent="0.3">
      <c r="A998" s="222"/>
      <c r="B998" s="225"/>
      <c r="C998" s="36" t="s">
        <v>333</v>
      </c>
      <c r="D998" s="47" t="s">
        <v>20</v>
      </c>
      <c r="E998" s="37">
        <v>5.7000000000000002E-2</v>
      </c>
      <c r="F998" s="34">
        <v>1.9474999999999998</v>
      </c>
      <c r="G998" s="31">
        <f t="shared" si="17"/>
        <v>0.1110075</v>
      </c>
      <c r="H998" s="35"/>
      <c r="I998" s="31"/>
      <c r="J998" s="156">
        <v>0</v>
      </c>
    </row>
    <row r="999" spans="1:10" ht="26.25" hidden="1" thickBot="1" x14ac:dyDescent="0.3">
      <c r="A999" s="222"/>
      <c r="B999" s="225"/>
      <c r="C999" s="36" t="s">
        <v>356</v>
      </c>
      <c r="D999" s="47" t="s">
        <v>20</v>
      </c>
      <c r="E999" s="37">
        <v>1</v>
      </c>
      <c r="F999" s="34">
        <v>113.373</v>
      </c>
      <c r="G999" s="31">
        <f t="shared" si="17"/>
        <v>113.373</v>
      </c>
      <c r="H999" s="35"/>
      <c r="I999" s="31"/>
      <c r="J999" s="156">
        <v>0</v>
      </c>
    </row>
    <row r="1000" spans="1:10" ht="26.25" hidden="1" thickBot="1" x14ac:dyDescent="0.3">
      <c r="A1000" s="222"/>
      <c r="B1000" s="225"/>
      <c r="C1000" s="36" t="s">
        <v>354</v>
      </c>
      <c r="D1000" s="47" t="s">
        <v>20</v>
      </c>
      <c r="E1000" s="37">
        <v>0.03</v>
      </c>
      <c r="F1000" s="34">
        <v>27.645</v>
      </c>
      <c r="G1000" s="31">
        <f t="shared" si="17"/>
        <v>0.82934999999999992</v>
      </c>
      <c r="H1000" s="35"/>
      <c r="I1000" s="31"/>
      <c r="J1000" s="156">
        <v>0</v>
      </c>
    </row>
    <row r="1001" spans="1:10" ht="15.75" hidden="1" thickBot="1" x14ac:dyDescent="0.3">
      <c r="A1001" s="222"/>
      <c r="B1001" s="225"/>
      <c r="C1001" s="36" t="s">
        <v>332</v>
      </c>
      <c r="D1001" s="47" t="s">
        <v>20</v>
      </c>
      <c r="E1001" s="37">
        <v>2.2499999999999999E-2</v>
      </c>
      <c r="F1001" s="34">
        <v>65.578499999999991</v>
      </c>
      <c r="G1001" s="31">
        <f t="shared" si="17"/>
        <v>1.4755162499999996</v>
      </c>
      <c r="H1001" s="35"/>
      <c r="I1001" s="31"/>
      <c r="J1001" s="156">
        <v>0</v>
      </c>
    </row>
    <row r="1002" spans="1:10" ht="15.75" hidden="1" thickBot="1" x14ac:dyDescent="0.3">
      <c r="A1002" s="223"/>
      <c r="B1002" s="226"/>
      <c r="C1002" s="36"/>
      <c r="D1002" s="36"/>
      <c r="E1002" s="37"/>
      <c r="F1002" s="31" t="s">
        <v>572</v>
      </c>
      <c r="G1002" s="31" t="str">
        <f t="shared" si="17"/>
        <v/>
      </c>
      <c r="H1002" s="35"/>
      <c r="I1002" s="31"/>
      <c r="J1002" s="156">
        <v>0</v>
      </c>
    </row>
    <row r="1003" spans="1:10" ht="15.75" hidden="1" thickBot="1" x14ac:dyDescent="0.3">
      <c r="A1003" s="221" t="s">
        <v>357</v>
      </c>
      <c r="B1003" s="224" t="str">
        <f>INDEX(Orçamentária!A:B,MATCH(Composições!A1003,Orçamentária!A:A,0),2)</f>
        <v>Grelha quadrada para ralo 10x10cm</v>
      </c>
      <c r="C1003" s="41"/>
      <c r="D1003" s="26" t="str">
        <f>TRIM(INDEX(Orçamentária!C:C,MATCH(Composições!A1003,Orçamentária!A:A,0),1))</f>
        <v>un</v>
      </c>
      <c r="E1003" s="27"/>
      <c r="F1003" s="42" t="s">
        <v>572</v>
      </c>
      <c r="G1003" s="28" t="str">
        <f t="shared" si="17"/>
        <v/>
      </c>
      <c r="H1003" s="29"/>
      <c r="I1003" s="30"/>
      <c r="J1003" s="156">
        <v>0</v>
      </c>
    </row>
    <row r="1004" spans="1:10" ht="15.75" hidden="1" thickBot="1" x14ac:dyDescent="0.3">
      <c r="A1004" s="222"/>
      <c r="B1004" s="225"/>
      <c r="C1004" s="32"/>
      <c r="D1004" s="32"/>
      <c r="E1004" s="33"/>
      <c r="F1004" s="43" t="s">
        <v>572</v>
      </c>
      <c r="G1004" s="31" t="str">
        <f t="shared" si="17"/>
        <v/>
      </c>
      <c r="H1004" s="35"/>
      <c r="I1004" s="31"/>
      <c r="J1004" s="156">
        <v>0</v>
      </c>
    </row>
    <row r="1005" spans="1:10" ht="26.25" hidden="1" thickBot="1" x14ac:dyDescent="0.3">
      <c r="A1005" s="222"/>
      <c r="B1005" s="225"/>
      <c r="C1005" s="36" t="s">
        <v>358</v>
      </c>
      <c r="D1005" s="47" t="s">
        <v>150</v>
      </c>
      <c r="E1005" s="37">
        <v>1</v>
      </c>
      <c r="F1005" s="34" t="s">
        <v>572</v>
      </c>
      <c r="G1005" s="34" t="str">
        <f t="shared" si="17"/>
        <v/>
      </c>
      <c r="H1005" s="39">
        <f>SUM(G1005:G1006)</f>
        <v>2.4467250000000003</v>
      </c>
      <c r="I1005" s="40"/>
      <c r="J1005" s="156">
        <v>0</v>
      </c>
    </row>
    <row r="1006" spans="1:10" ht="15.75" hidden="1" thickBot="1" x14ac:dyDescent="0.3">
      <c r="A1006" s="222"/>
      <c r="B1006" s="225"/>
      <c r="C1006" s="36" t="s">
        <v>23</v>
      </c>
      <c r="D1006" s="47" t="s">
        <v>12</v>
      </c>
      <c r="E1006" s="37">
        <v>0.15</v>
      </c>
      <c r="F1006" s="31">
        <v>16.311500000000002</v>
      </c>
      <c r="G1006" s="34">
        <f t="shared" si="17"/>
        <v>2.4467250000000003</v>
      </c>
      <c r="H1006" s="35"/>
      <c r="I1006" s="31"/>
      <c r="J1006" s="156">
        <v>0</v>
      </c>
    </row>
    <row r="1007" spans="1:10" ht="15.75" hidden="1" thickBot="1" x14ac:dyDescent="0.3">
      <c r="A1007" s="223"/>
      <c r="B1007" s="226"/>
      <c r="C1007" s="36"/>
      <c r="D1007" s="36"/>
      <c r="E1007" s="37"/>
      <c r="F1007" s="31" t="s">
        <v>572</v>
      </c>
      <c r="G1007" s="31" t="str">
        <f t="shared" si="17"/>
        <v/>
      </c>
      <c r="H1007" s="35"/>
      <c r="I1007" s="31"/>
      <c r="J1007" s="156">
        <v>0</v>
      </c>
    </row>
    <row r="1008" spans="1:10" ht="15.75" hidden="1" thickBot="1" x14ac:dyDescent="0.3">
      <c r="A1008" s="221" t="s">
        <v>359</v>
      </c>
      <c r="B1008" s="224" t="str">
        <f>INDEX(Orçamentária!A:B,MATCH(Composições!A1008,Orçamentária!A:A,0),2)</f>
        <v>Grelha quadrada para ralo 15x15cm</v>
      </c>
      <c r="C1008" s="41"/>
      <c r="D1008" s="26" t="str">
        <f>TRIM(INDEX(Orçamentária!C:C,MATCH(Composições!A1008,Orçamentária!A:A,0),1))</f>
        <v>un</v>
      </c>
      <c r="E1008" s="27"/>
      <c r="F1008" s="42" t="s">
        <v>572</v>
      </c>
      <c r="G1008" s="28" t="str">
        <f t="shared" si="17"/>
        <v/>
      </c>
      <c r="H1008" s="29"/>
      <c r="I1008" s="30"/>
      <c r="J1008" s="156">
        <v>0</v>
      </c>
    </row>
    <row r="1009" spans="1:10" ht="15.75" hidden="1" thickBot="1" x14ac:dyDescent="0.3">
      <c r="A1009" s="222"/>
      <c r="B1009" s="225"/>
      <c r="C1009" s="32"/>
      <c r="D1009" s="32"/>
      <c r="E1009" s="33"/>
      <c r="F1009" s="43" t="s">
        <v>572</v>
      </c>
      <c r="G1009" s="31" t="str">
        <f t="shared" si="17"/>
        <v/>
      </c>
      <c r="H1009" s="35"/>
      <c r="I1009" s="31"/>
      <c r="J1009" s="156">
        <v>0</v>
      </c>
    </row>
    <row r="1010" spans="1:10" ht="26.25" hidden="1" thickBot="1" x14ac:dyDescent="0.3">
      <c r="A1010" s="222"/>
      <c r="B1010" s="225"/>
      <c r="C1010" s="36" t="s">
        <v>360</v>
      </c>
      <c r="D1010" s="47" t="s">
        <v>150</v>
      </c>
      <c r="E1010" s="37">
        <v>1</v>
      </c>
      <c r="F1010" s="34" t="s">
        <v>572</v>
      </c>
      <c r="G1010" s="34" t="str">
        <f t="shared" si="17"/>
        <v/>
      </c>
      <c r="H1010" s="39">
        <f>SUM(G1010:G1011)</f>
        <v>2.4467250000000003</v>
      </c>
      <c r="I1010" s="40"/>
      <c r="J1010" s="156">
        <v>0</v>
      </c>
    </row>
    <row r="1011" spans="1:10" ht="15.75" hidden="1" thickBot="1" x14ac:dyDescent="0.3">
      <c r="A1011" s="222"/>
      <c r="B1011" s="225"/>
      <c r="C1011" s="36" t="s">
        <v>23</v>
      </c>
      <c r="D1011" s="47" t="s">
        <v>12</v>
      </c>
      <c r="E1011" s="37">
        <v>0.15</v>
      </c>
      <c r="F1011" s="31">
        <v>16.311500000000002</v>
      </c>
      <c r="G1011" s="34">
        <f t="shared" si="17"/>
        <v>2.4467250000000003</v>
      </c>
      <c r="H1011" s="35"/>
      <c r="I1011" s="31"/>
      <c r="J1011" s="156">
        <v>0</v>
      </c>
    </row>
    <row r="1012" spans="1:10" ht="15.75" hidden="1" thickBot="1" x14ac:dyDescent="0.3">
      <c r="A1012" s="223"/>
      <c r="B1012" s="226"/>
      <c r="C1012" s="36"/>
      <c r="D1012" s="36"/>
      <c r="E1012" s="37"/>
      <c r="F1012" s="31" t="s">
        <v>572</v>
      </c>
      <c r="G1012" s="31" t="str">
        <f t="shared" si="17"/>
        <v/>
      </c>
      <c r="H1012" s="35"/>
      <c r="I1012" s="31"/>
      <c r="J1012" s="156">
        <v>0</v>
      </c>
    </row>
    <row r="1013" spans="1:10" ht="15.75" hidden="1" thickBot="1" x14ac:dyDescent="0.3">
      <c r="A1013" s="221" t="s">
        <v>361</v>
      </c>
      <c r="B1013" s="224" t="str">
        <f>INDEX(Orçamentária!A:B,MATCH(Composições!A1013,Orçamentária!A:A,0),2)</f>
        <v>Ralo seco PVC DN 100x40mm</v>
      </c>
      <c r="C1013" s="41"/>
      <c r="D1013" s="26" t="str">
        <f>TRIM(INDEX(Orçamentária!C:C,MATCH(Composições!A1013,Orçamentária!A:A,0),1))</f>
        <v>un</v>
      </c>
      <c r="E1013" s="27"/>
      <c r="F1013" s="42" t="s">
        <v>572</v>
      </c>
      <c r="G1013" s="28" t="str">
        <f t="shared" si="17"/>
        <v/>
      </c>
      <c r="H1013" s="29"/>
      <c r="I1013" s="30"/>
      <c r="J1013" s="156">
        <v>0</v>
      </c>
    </row>
    <row r="1014" spans="1:10" ht="15.75" hidden="1" thickBot="1" x14ac:dyDescent="0.3">
      <c r="A1014" s="222"/>
      <c r="B1014" s="225"/>
      <c r="C1014" s="32"/>
      <c r="D1014" s="32"/>
      <c r="E1014" s="33"/>
      <c r="F1014" s="43" t="s">
        <v>572</v>
      </c>
      <c r="G1014" s="31" t="str">
        <f t="shared" si="17"/>
        <v/>
      </c>
      <c r="H1014" s="35"/>
      <c r="I1014" s="31"/>
      <c r="J1014" s="156">
        <v>0</v>
      </c>
    </row>
    <row r="1015" spans="1:10" ht="26.25" hidden="1" thickBot="1" x14ac:dyDescent="0.3">
      <c r="A1015" s="222"/>
      <c r="B1015" s="225"/>
      <c r="C1015" s="36" t="s">
        <v>110</v>
      </c>
      <c r="D1015" s="47" t="s">
        <v>12</v>
      </c>
      <c r="E1015" s="37">
        <v>7.0000000000000007E-2</v>
      </c>
      <c r="F1015" s="31">
        <v>16.891000000000002</v>
      </c>
      <c r="G1015" s="34">
        <f t="shared" si="17"/>
        <v>1.1823700000000001</v>
      </c>
      <c r="H1015" s="39">
        <f>SUM(G1015:G1020)</f>
        <v>12.292882199999999</v>
      </c>
      <c r="I1015" s="40"/>
      <c r="J1015" s="156">
        <v>0</v>
      </c>
    </row>
    <row r="1016" spans="1:10" ht="15.75" hidden="1" thickBot="1" x14ac:dyDescent="0.3">
      <c r="A1016" s="222"/>
      <c r="B1016" s="225"/>
      <c r="C1016" s="36" t="s">
        <v>39</v>
      </c>
      <c r="D1016" s="47" t="s">
        <v>12</v>
      </c>
      <c r="E1016" s="37">
        <v>7.0000000000000007E-2</v>
      </c>
      <c r="F1016" s="31">
        <v>21.622</v>
      </c>
      <c r="G1016" s="34">
        <f t="shared" si="17"/>
        <v>1.5135400000000001</v>
      </c>
      <c r="H1016" s="35"/>
      <c r="I1016" s="31"/>
      <c r="J1016" s="156">
        <v>0</v>
      </c>
    </row>
    <row r="1017" spans="1:10" ht="15.75" hidden="1" thickBot="1" x14ac:dyDescent="0.3">
      <c r="A1017" s="222"/>
      <c r="B1017" s="225"/>
      <c r="C1017" s="36" t="s">
        <v>330</v>
      </c>
      <c r="D1017" s="47" t="s">
        <v>20</v>
      </c>
      <c r="E1017" s="37">
        <v>4.8999999999999998E-3</v>
      </c>
      <c r="F1017" s="34">
        <v>75.515499999999989</v>
      </c>
      <c r="G1017" s="34">
        <f t="shared" si="17"/>
        <v>0.37002594999999994</v>
      </c>
      <c r="H1017" s="35"/>
      <c r="I1017" s="31"/>
      <c r="J1017" s="156">
        <v>0</v>
      </c>
    </row>
    <row r="1018" spans="1:10" ht="15.75" hidden="1" thickBot="1" x14ac:dyDescent="0.3">
      <c r="A1018" s="222"/>
      <c r="B1018" s="225"/>
      <c r="C1018" s="36" t="s">
        <v>333</v>
      </c>
      <c r="D1018" s="47" t="s">
        <v>20</v>
      </c>
      <c r="E1018" s="37">
        <v>1.7000000000000001E-2</v>
      </c>
      <c r="F1018" s="34">
        <v>1.9474999999999998</v>
      </c>
      <c r="G1018" s="34">
        <f t="shared" si="17"/>
        <v>3.3107499999999998E-2</v>
      </c>
      <c r="H1018" s="35"/>
      <c r="I1018" s="31"/>
      <c r="J1018" s="156">
        <v>0</v>
      </c>
    </row>
    <row r="1019" spans="1:10" ht="15.75" hidden="1" thickBot="1" x14ac:dyDescent="0.3">
      <c r="A1019" s="222"/>
      <c r="B1019" s="225"/>
      <c r="C1019" s="36" t="s">
        <v>362</v>
      </c>
      <c r="D1019" s="47" t="s">
        <v>20</v>
      </c>
      <c r="E1019" s="37">
        <v>1</v>
      </c>
      <c r="F1019" s="34">
        <v>8.702</v>
      </c>
      <c r="G1019" s="34">
        <f t="shared" si="17"/>
        <v>8.702</v>
      </c>
      <c r="H1019" s="35"/>
      <c r="I1019" s="31"/>
      <c r="J1019" s="156">
        <v>0</v>
      </c>
    </row>
    <row r="1020" spans="1:10" ht="15.75" hidden="1" thickBot="1" x14ac:dyDescent="0.3">
      <c r="A1020" s="222"/>
      <c r="B1020" s="225"/>
      <c r="C1020" s="36" t="s">
        <v>332</v>
      </c>
      <c r="D1020" s="47" t="s">
        <v>20</v>
      </c>
      <c r="E1020" s="37">
        <v>7.4999999999999997E-3</v>
      </c>
      <c r="F1020" s="34">
        <v>65.578499999999991</v>
      </c>
      <c r="G1020" s="34">
        <f t="shared" si="17"/>
        <v>0.49183874999999994</v>
      </c>
      <c r="H1020" s="35"/>
      <c r="I1020" s="31"/>
      <c r="J1020" s="156">
        <v>0</v>
      </c>
    </row>
    <row r="1021" spans="1:10" ht="15.75" hidden="1" thickBot="1" x14ac:dyDescent="0.3">
      <c r="A1021" s="223"/>
      <c r="B1021" s="226"/>
      <c r="C1021" s="36"/>
      <c r="D1021" s="36"/>
      <c r="E1021" s="37"/>
      <c r="F1021" s="31" t="s">
        <v>572</v>
      </c>
      <c r="G1021" s="31" t="str">
        <f t="shared" si="17"/>
        <v/>
      </c>
      <c r="H1021" s="35"/>
      <c r="I1021" s="31"/>
      <c r="J1021" s="156">
        <v>0</v>
      </c>
    </row>
    <row r="1022" spans="1:10" ht="15.75" hidden="1" thickBot="1" x14ac:dyDescent="0.3">
      <c r="A1022" s="221" t="s">
        <v>363</v>
      </c>
      <c r="B1022" s="224" t="str">
        <f>INDEX(Orçamentária!A:B,MATCH(Composições!A1022,Orçamentária!A:A,0),2)</f>
        <v>Assento para bacia convencional – Linha Administrativa</v>
      </c>
      <c r="C1022" s="41"/>
      <c r="D1022" s="26" t="str">
        <f>TRIM(INDEX(Orçamentária!C:C,MATCH(Composições!A1022,Orçamentária!A:A,0),1))</f>
        <v>un</v>
      </c>
      <c r="E1022" s="27"/>
      <c r="F1022" s="42" t="s">
        <v>572</v>
      </c>
      <c r="G1022" s="28" t="str">
        <f t="shared" si="17"/>
        <v/>
      </c>
      <c r="H1022" s="29"/>
      <c r="I1022" s="30"/>
      <c r="J1022" s="156">
        <v>0</v>
      </c>
    </row>
    <row r="1023" spans="1:10" ht="15.75" hidden="1" thickBot="1" x14ac:dyDescent="0.3">
      <c r="A1023" s="222"/>
      <c r="B1023" s="225"/>
      <c r="C1023" s="32"/>
      <c r="D1023" s="32"/>
      <c r="E1023" s="33"/>
      <c r="F1023" s="43" t="s">
        <v>572</v>
      </c>
      <c r="G1023" s="31" t="str">
        <f t="shared" si="17"/>
        <v/>
      </c>
      <c r="H1023" s="35"/>
      <c r="I1023" s="31"/>
      <c r="J1023" s="156">
        <v>0</v>
      </c>
    </row>
    <row r="1024" spans="1:10" ht="26.25" hidden="1" thickBot="1" x14ac:dyDescent="0.3">
      <c r="A1024" s="222"/>
      <c r="B1024" s="225"/>
      <c r="C1024" s="36" t="s">
        <v>364</v>
      </c>
      <c r="D1024" s="47" t="s">
        <v>150</v>
      </c>
      <c r="E1024" s="37">
        <v>1</v>
      </c>
      <c r="F1024" s="34" t="s">
        <v>572</v>
      </c>
      <c r="G1024" s="34" t="str">
        <f t="shared" si="17"/>
        <v/>
      </c>
      <c r="H1024" s="39">
        <f>SUM(G1024:G1025)</f>
        <v>1.6311500000000003</v>
      </c>
      <c r="I1024" s="40"/>
      <c r="J1024" s="156">
        <v>0</v>
      </c>
    </row>
    <row r="1025" spans="1:10" ht="15.75" hidden="1" thickBot="1" x14ac:dyDescent="0.3">
      <c r="A1025" s="222"/>
      <c r="B1025" s="225"/>
      <c r="C1025" s="36" t="s">
        <v>23</v>
      </c>
      <c r="D1025" s="47" t="s">
        <v>12</v>
      </c>
      <c r="E1025" s="37">
        <v>0.1</v>
      </c>
      <c r="F1025" s="31">
        <v>16.311500000000002</v>
      </c>
      <c r="G1025" s="34">
        <f t="shared" si="17"/>
        <v>1.6311500000000003</v>
      </c>
      <c r="H1025" s="35"/>
      <c r="I1025" s="31"/>
      <c r="J1025" s="156">
        <v>0</v>
      </c>
    </row>
    <row r="1026" spans="1:10" ht="15.75" hidden="1" thickBot="1" x14ac:dyDescent="0.3">
      <c r="A1026" s="223"/>
      <c r="B1026" s="226"/>
      <c r="C1026" s="36"/>
      <c r="D1026" s="36"/>
      <c r="E1026" s="37"/>
      <c r="F1026" s="31" t="s">
        <v>572</v>
      </c>
      <c r="G1026" s="31" t="str">
        <f t="shared" si="17"/>
        <v/>
      </c>
      <c r="H1026" s="35"/>
      <c r="I1026" s="31"/>
      <c r="J1026" s="156">
        <v>0</v>
      </c>
    </row>
    <row r="1027" spans="1:10" ht="15.75" hidden="1" thickBot="1" x14ac:dyDescent="0.3">
      <c r="A1027" s="221" t="s">
        <v>365</v>
      </c>
      <c r="B1027" s="224" t="str">
        <f>INDEX(Orçamentária!A:B,MATCH(Composições!A1027,Orçamentária!A:A,0),2)</f>
        <v>Bacia convencional – Linha Administrativa</v>
      </c>
      <c r="C1027" s="41"/>
      <c r="D1027" s="26" t="str">
        <f>TRIM(INDEX(Orçamentária!C:C,MATCH(Composições!A1027,Orçamentária!A:A,0),1))</f>
        <v>un</v>
      </c>
      <c r="E1027" s="27"/>
      <c r="F1027" s="42" t="s">
        <v>572</v>
      </c>
      <c r="G1027" s="28" t="str">
        <f t="shared" si="17"/>
        <v/>
      </c>
      <c r="H1027" s="29"/>
      <c r="I1027" s="30"/>
      <c r="J1027" s="156">
        <v>0</v>
      </c>
    </row>
    <row r="1028" spans="1:10" ht="15.75" hidden="1" thickBot="1" x14ac:dyDescent="0.3">
      <c r="A1028" s="222"/>
      <c r="B1028" s="225"/>
      <c r="C1028" s="32"/>
      <c r="D1028" s="32"/>
      <c r="E1028" s="33"/>
      <c r="F1028" s="43" t="s">
        <v>572</v>
      </c>
      <c r="G1028" s="31" t="str">
        <f t="shared" si="17"/>
        <v/>
      </c>
      <c r="H1028" s="35"/>
      <c r="I1028" s="31"/>
      <c r="J1028" s="156">
        <v>0</v>
      </c>
    </row>
    <row r="1029" spans="1:10" ht="15.75" hidden="1" thickBot="1" x14ac:dyDescent="0.3">
      <c r="A1029" s="222"/>
      <c r="B1029" s="225"/>
      <c r="C1029" s="36" t="s">
        <v>366</v>
      </c>
      <c r="D1029" s="47" t="s">
        <v>299</v>
      </c>
      <c r="E1029" s="37">
        <v>1</v>
      </c>
      <c r="F1029" s="34">
        <v>132.95249999999999</v>
      </c>
      <c r="G1029" s="34">
        <f t="shared" si="17"/>
        <v>132.95249999999999</v>
      </c>
      <c r="H1029" s="39">
        <f>SUM(G1029:G1035)</f>
        <v>178.74422519999996</v>
      </c>
      <c r="I1029" s="40"/>
      <c r="J1029" s="156">
        <v>0</v>
      </c>
    </row>
    <row r="1030" spans="1:10" ht="26.25" hidden="1" thickBot="1" x14ac:dyDescent="0.3">
      <c r="A1030" s="222"/>
      <c r="B1030" s="225"/>
      <c r="C1030" s="36" t="s">
        <v>328</v>
      </c>
      <c r="D1030" s="36" t="s">
        <v>20</v>
      </c>
      <c r="E1030" s="37">
        <v>1</v>
      </c>
      <c r="F1030" s="34" t="s">
        <v>572</v>
      </c>
      <c r="G1030" s="34" t="str">
        <f t="shared" si="17"/>
        <v/>
      </c>
      <c r="H1030" s="35"/>
      <c r="I1030" s="31"/>
      <c r="J1030" s="156">
        <v>0</v>
      </c>
    </row>
    <row r="1031" spans="1:10" ht="26.25" hidden="1" thickBot="1" x14ac:dyDescent="0.3">
      <c r="A1031" s="222"/>
      <c r="B1031" s="225"/>
      <c r="C1031" s="36" t="s">
        <v>367</v>
      </c>
      <c r="D1031" s="47" t="s">
        <v>299</v>
      </c>
      <c r="E1031" s="37">
        <v>2</v>
      </c>
      <c r="F1031" s="34">
        <v>10.953499999999998</v>
      </c>
      <c r="G1031" s="34">
        <f t="shared" si="17"/>
        <v>21.906999999999996</v>
      </c>
      <c r="H1031" s="35"/>
      <c r="I1031" s="31"/>
      <c r="J1031" s="156">
        <v>0</v>
      </c>
    </row>
    <row r="1032" spans="1:10" ht="15.75" hidden="1" thickBot="1" x14ac:dyDescent="0.3">
      <c r="A1032" s="222"/>
      <c r="B1032" s="225"/>
      <c r="C1032" s="36" t="s">
        <v>327</v>
      </c>
      <c r="D1032" s="47" t="s">
        <v>20</v>
      </c>
      <c r="E1032" s="37">
        <v>1</v>
      </c>
      <c r="F1032" s="34">
        <v>2.7454999999999998</v>
      </c>
      <c r="G1032" s="54">
        <f t="shared" si="17"/>
        <v>2.7454999999999998</v>
      </c>
      <c r="H1032" s="35"/>
      <c r="I1032" s="31"/>
      <c r="J1032" s="156">
        <v>0</v>
      </c>
    </row>
    <row r="1033" spans="1:10" ht="15.75" hidden="1" thickBot="1" x14ac:dyDescent="0.3">
      <c r="A1033" s="222"/>
      <c r="B1033" s="225"/>
      <c r="C1033" s="36" t="s">
        <v>3625</v>
      </c>
      <c r="D1033" s="47" t="s">
        <v>42</v>
      </c>
      <c r="E1033" s="37">
        <v>8.8099999999999998E-2</v>
      </c>
      <c r="F1033" s="34">
        <v>52.8675</v>
      </c>
      <c r="G1033" s="34">
        <f t="shared" si="17"/>
        <v>4.6576267499999995</v>
      </c>
      <c r="H1033" s="35"/>
      <c r="I1033" s="31"/>
      <c r="J1033" s="156">
        <v>0</v>
      </c>
    </row>
    <row r="1034" spans="1:10" ht="15.75" hidden="1" thickBot="1" x14ac:dyDescent="0.3">
      <c r="A1034" s="222"/>
      <c r="B1034" s="225"/>
      <c r="C1034" s="36" t="s">
        <v>39</v>
      </c>
      <c r="D1034" s="47" t="s">
        <v>12</v>
      </c>
      <c r="E1034" s="37">
        <v>0.49859999999999999</v>
      </c>
      <c r="F1034" s="31">
        <v>21.622</v>
      </c>
      <c r="G1034" s="34">
        <f t="shared" si="17"/>
        <v>10.7807292</v>
      </c>
      <c r="H1034" s="35"/>
      <c r="I1034" s="31"/>
      <c r="J1034" s="156">
        <v>0</v>
      </c>
    </row>
    <row r="1035" spans="1:10" ht="15.75" hidden="1" thickBot="1" x14ac:dyDescent="0.3">
      <c r="A1035" s="222"/>
      <c r="B1035" s="225"/>
      <c r="C1035" s="36" t="s">
        <v>23</v>
      </c>
      <c r="D1035" s="47" t="s">
        <v>12</v>
      </c>
      <c r="E1035" s="37">
        <v>0.34949999999999998</v>
      </c>
      <c r="F1035" s="31">
        <v>16.311500000000002</v>
      </c>
      <c r="G1035" s="34">
        <f t="shared" si="17"/>
        <v>5.7008692500000002</v>
      </c>
      <c r="H1035" s="35"/>
      <c r="I1035" s="31"/>
      <c r="J1035" s="156">
        <v>0</v>
      </c>
    </row>
    <row r="1036" spans="1:10" ht="15.75" hidden="1" thickBot="1" x14ac:dyDescent="0.3">
      <c r="A1036" s="223"/>
      <c r="B1036" s="226"/>
      <c r="C1036" s="36"/>
      <c r="D1036" s="36"/>
      <c r="E1036" s="37"/>
      <c r="F1036" s="31" t="s">
        <v>572</v>
      </c>
      <c r="G1036" s="31" t="str">
        <f t="shared" si="17"/>
        <v/>
      </c>
      <c r="H1036" s="35"/>
      <c r="I1036" s="31"/>
      <c r="J1036" s="156">
        <v>0</v>
      </c>
    </row>
    <row r="1037" spans="1:10" ht="15.75" hidden="1" thickBot="1" x14ac:dyDescent="0.3">
      <c r="A1037" s="221" t="s">
        <v>368</v>
      </c>
      <c r="B1037" s="224" t="str">
        <f>INDEX(Orçamentária!A:B,MATCH(Composições!A1037,Orçamentária!A:A,0),2)</f>
        <v>Bacia convencional com saída horizontal</v>
      </c>
      <c r="C1037" s="41"/>
      <c r="D1037" s="26" t="str">
        <f>TRIM(INDEX(Orçamentária!C:C,MATCH(Composições!A1037,Orçamentária!A:A,0),1))</f>
        <v>un</v>
      </c>
      <c r="E1037" s="27"/>
      <c r="F1037" s="42" t="s">
        <v>572</v>
      </c>
      <c r="G1037" s="28" t="str">
        <f t="shared" si="17"/>
        <v/>
      </c>
      <c r="H1037" s="29"/>
      <c r="I1037" s="30"/>
      <c r="J1037" s="156">
        <v>0</v>
      </c>
    </row>
    <row r="1038" spans="1:10" ht="15.75" hidden="1" thickBot="1" x14ac:dyDescent="0.3">
      <c r="A1038" s="222"/>
      <c r="B1038" s="225"/>
      <c r="C1038" s="32"/>
      <c r="D1038" s="32"/>
      <c r="E1038" s="33"/>
      <c r="F1038" s="43" t="s">
        <v>572</v>
      </c>
      <c r="G1038" s="31" t="str">
        <f t="shared" si="17"/>
        <v/>
      </c>
      <c r="H1038" s="35"/>
      <c r="I1038" s="31"/>
      <c r="J1038" s="156">
        <v>0</v>
      </c>
    </row>
    <row r="1039" spans="1:10" ht="26.25" hidden="1" thickBot="1" x14ac:dyDescent="0.3">
      <c r="A1039" s="222"/>
      <c r="B1039" s="225"/>
      <c r="C1039" s="36" t="s">
        <v>369</v>
      </c>
      <c r="D1039" s="47" t="s">
        <v>150</v>
      </c>
      <c r="E1039" s="37">
        <v>1</v>
      </c>
      <c r="F1039" s="34" t="s">
        <v>572</v>
      </c>
      <c r="G1039" s="34" t="str">
        <f t="shared" si="17"/>
        <v/>
      </c>
      <c r="H1039" s="39">
        <f>SUM(G1039:G1044)</f>
        <v>45.791725199999988</v>
      </c>
      <c r="I1039" s="40"/>
      <c r="J1039" s="156">
        <v>0</v>
      </c>
    </row>
    <row r="1040" spans="1:10" ht="26.25" hidden="1" thickBot="1" x14ac:dyDescent="0.3">
      <c r="A1040" s="222"/>
      <c r="B1040" s="225"/>
      <c r="C1040" s="36" t="s">
        <v>367</v>
      </c>
      <c r="D1040" s="47" t="s">
        <v>299</v>
      </c>
      <c r="E1040" s="37">
        <v>2</v>
      </c>
      <c r="F1040" s="34">
        <v>10.953499999999998</v>
      </c>
      <c r="G1040" s="34">
        <f t="shared" si="17"/>
        <v>21.906999999999996</v>
      </c>
      <c r="H1040" s="35"/>
      <c r="I1040" s="31"/>
      <c r="J1040" s="156">
        <v>0</v>
      </c>
    </row>
    <row r="1041" spans="1:10" ht="15.75" hidden="1" thickBot="1" x14ac:dyDescent="0.3">
      <c r="A1041" s="222"/>
      <c r="B1041" s="225"/>
      <c r="C1041" s="36" t="s">
        <v>327</v>
      </c>
      <c r="D1041" s="47" t="s">
        <v>20</v>
      </c>
      <c r="E1041" s="37">
        <v>1</v>
      </c>
      <c r="F1041" s="34">
        <v>2.7454999999999998</v>
      </c>
      <c r="G1041" s="54">
        <f t="shared" si="17"/>
        <v>2.7454999999999998</v>
      </c>
      <c r="H1041" s="35"/>
      <c r="I1041" s="31"/>
      <c r="J1041" s="156">
        <v>0</v>
      </c>
    </row>
    <row r="1042" spans="1:10" ht="15.75" hidden="1" thickBot="1" x14ac:dyDescent="0.3">
      <c r="A1042" s="222"/>
      <c r="B1042" s="225"/>
      <c r="C1042" s="36" t="s">
        <v>3625</v>
      </c>
      <c r="D1042" s="47" t="s">
        <v>42</v>
      </c>
      <c r="E1042" s="37">
        <v>8.8099999999999998E-2</v>
      </c>
      <c r="F1042" s="34">
        <v>52.8675</v>
      </c>
      <c r="G1042" s="34">
        <f t="shared" si="17"/>
        <v>4.6576267499999995</v>
      </c>
      <c r="H1042" s="35"/>
      <c r="I1042" s="31"/>
      <c r="J1042" s="156">
        <v>0</v>
      </c>
    </row>
    <row r="1043" spans="1:10" ht="15.75" hidden="1" thickBot="1" x14ac:dyDescent="0.3">
      <c r="A1043" s="222"/>
      <c r="B1043" s="225"/>
      <c r="C1043" s="36" t="s">
        <v>39</v>
      </c>
      <c r="D1043" s="47" t="s">
        <v>12</v>
      </c>
      <c r="E1043" s="37">
        <v>0.49859999999999999</v>
      </c>
      <c r="F1043" s="31">
        <v>21.622</v>
      </c>
      <c r="G1043" s="34">
        <f t="shared" si="17"/>
        <v>10.7807292</v>
      </c>
      <c r="H1043" s="35"/>
      <c r="I1043" s="31"/>
      <c r="J1043" s="156">
        <v>0</v>
      </c>
    </row>
    <row r="1044" spans="1:10" ht="15.75" hidden="1" thickBot="1" x14ac:dyDescent="0.3">
      <c r="A1044" s="222"/>
      <c r="B1044" s="225"/>
      <c r="C1044" s="36" t="s">
        <v>23</v>
      </c>
      <c r="D1044" s="47" t="s">
        <v>12</v>
      </c>
      <c r="E1044" s="37">
        <v>0.34949999999999998</v>
      </c>
      <c r="F1044" s="31">
        <v>16.311500000000002</v>
      </c>
      <c r="G1044" s="34">
        <f t="shared" si="17"/>
        <v>5.7008692500000002</v>
      </c>
      <c r="H1044" s="35"/>
      <c r="I1044" s="31"/>
      <c r="J1044" s="156">
        <v>0</v>
      </c>
    </row>
    <row r="1045" spans="1:10" ht="15.75" hidden="1" thickBot="1" x14ac:dyDescent="0.3">
      <c r="A1045" s="223"/>
      <c r="B1045" s="226"/>
      <c r="C1045" s="36"/>
      <c r="D1045" s="36"/>
      <c r="E1045" s="37"/>
      <c r="F1045" s="31" t="s">
        <v>572</v>
      </c>
      <c r="G1045" s="31" t="str">
        <f t="shared" ref="G1045:G1108" si="18">IF(ISNUMBER(F1045),E1045*F1045,"")</f>
        <v/>
      </c>
      <c r="H1045" s="35"/>
      <c r="I1045" s="31"/>
      <c r="J1045" s="156">
        <v>0</v>
      </c>
    </row>
    <row r="1046" spans="1:10" ht="15.75" hidden="1" thickBot="1" x14ac:dyDescent="0.3">
      <c r="A1046" s="221" t="s">
        <v>370</v>
      </c>
      <c r="B1046" s="224" t="str">
        <f>INDEX(Orçamentária!A:B,MATCH(Composições!A1046,Orçamentária!A:A,0),2)</f>
        <v>Cuba oval de embutir</v>
      </c>
      <c r="C1046" s="41"/>
      <c r="D1046" s="26" t="str">
        <f>TRIM(INDEX(Orçamentária!C:C,MATCH(Composições!A1046,Orçamentária!A:A,0),1))</f>
        <v>un</v>
      </c>
      <c r="E1046" s="27"/>
      <c r="F1046" s="42" t="s">
        <v>572</v>
      </c>
      <c r="G1046" s="28" t="str">
        <f t="shared" si="18"/>
        <v/>
      </c>
      <c r="H1046" s="29"/>
      <c r="I1046" s="30"/>
      <c r="J1046" s="156">
        <v>0</v>
      </c>
    </row>
    <row r="1047" spans="1:10" ht="15.75" hidden="1" thickBot="1" x14ac:dyDescent="0.3">
      <c r="A1047" s="222"/>
      <c r="B1047" s="225"/>
      <c r="C1047" s="32"/>
      <c r="D1047" s="32"/>
      <c r="E1047" s="33"/>
      <c r="F1047" s="43" t="s">
        <v>572</v>
      </c>
      <c r="G1047" s="31" t="str">
        <f t="shared" si="18"/>
        <v/>
      </c>
      <c r="H1047" s="35"/>
      <c r="I1047" s="31"/>
      <c r="J1047" s="156">
        <v>0</v>
      </c>
    </row>
    <row r="1048" spans="1:10" ht="15.75" hidden="1" thickBot="1" x14ac:dyDescent="0.3">
      <c r="A1048" s="222"/>
      <c r="B1048" s="225"/>
      <c r="C1048" s="36" t="s">
        <v>371</v>
      </c>
      <c r="D1048" s="47" t="s">
        <v>150</v>
      </c>
      <c r="E1048" s="37">
        <v>1</v>
      </c>
      <c r="F1048" s="34" t="s">
        <v>572</v>
      </c>
      <c r="G1048" s="34" t="str">
        <f t="shared" si="18"/>
        <v/>
      </c>
      <c r="H1048" s="39">
        <f>SUM(G1048:G1051)</f>
        <v>33.993000699999996</v>
      </c>
      <c r="I1048" s="40"/>
      <c r="J1048" s="156">
        <v>0</v>
      </c>
    </row>
    <row r="1049" spans="1:10" ht="15.75" hidden="1" thickBot="1" x14ac:dyDescent="0.3">
      <c r="A1049" s="222"/>
      <c r="B1049" s="225"/>
      <c r="C1049" s="36" t="s">
        <v>372</v>
      </c>
      <c r="D1049" s="47" t="s">
        <v>42</v>
      </c>
      <c r="E1049" s="37">
        <v>0.52710000000000001</v>
      </c>
      <c r="F1049" s="34">
        <v>26.685499999999998</v>
      </c>
      <c r="G1049" s="34">
        <f t="shared" si="18"/>
        <v>14.065927049999999</v>
      </c>
      <c r="H1049" s="35"/>
      <c r="I1049" s="31"/>
      <c r="J1049" s="156">
        <v>0</v>
      </c>
    </row>
    <row r="1050" spans="1:10" ht="15.75" hidden="1" thickBot="1" x14ac:dyDescent="0.3">
      <c r="A1050" s="222"/>
      <c r="B1050" s="225"/>
      <c r="C1050" s="36" t="s">
        <v>23</v>
      </c>
      <c r="D1050" s="47" t="s">
        <v>12</v>
      </c>
      <c r="E1050" s="37">
        <v>0.26650000000000001</v>
      </c>
      <c r="F1050" s="31">
        <v>16.311500000000002</v>
      </c>
      <c r="G1050" s="34">
        <f t="shared" si="18"/>
        <v>4.3470147500000005</v>
      </c>
      <c r="H1050" s="35"/>
      <c r="I1050" s="31"/>
      <c r="J1050" s="156">
        <v>0</v>
      </c>
    </row>
    <row r="1051" spans="1:10" ht="15.75" hidden="1" thickBot="1" x14ac:dyDescent="0.3">
      <c r="A1051" s="222"/>
      <c r="B1051" s="225"/>
      <c r="C1051" s="36" t="s">
        <v>54</v>
      </c>
      <c r="D1051" s="47" t="s">
        <v>12</v>
      </c>
      <c r="E1051" s="37">
        <v>0.8458</v>
      </c>
      <c r="F1051" s="31">
        <v>18.420500000000001</v>
      </c>
      <c r="G1051" s="34">
        <f t="shared" si="18"/>
        <v>15.580058900000001</v>
      </c>
      <c r="H1051" s="35"/>
      <c r="I1051" s="31"/>
      <c r="J1051" s="156">
        <v>0</v>
      </c>
    </row>
    <row r="1052" spans="1:10" ht="15.75" hidden="1" thickBot="1" x14ac:dyDescent="0.3">
      <c r="A1052" s="223"/>
      <c r="B1052" s="226"/>
      <c r="C1052" s="36"/>
      <c r="D1052" s="36"/>
      <c r="E1052" s="37"/>
      <c r="F1052" s="31" t="s">
        <v>572</v>
      </c>
      <c r="G1052" s="31" t="str">
        <f t="shared" si="18"/>
        <v/>
      </c>
      <c r="H1052" s="35"/>
      <c r="I1052" s="31"/>
      <c r="J1052" s="156">
        <v>0</v>
      </c>
    </row>
    <row r="1053" spans="1:10" ht="15.75" hidden="1" thickBot="1" x14ac:dyDescent="0.3">
      <c r="A1053" s="221" t="s">
        <v>373</v>
      </c>
      <c r="B1053" s="224" t="str">
        <f>INDEX(Orçamentária!A:B,MATCH(Composições!A1053,Orçamentária!A:A,0),2)</f>
        <v>Cuba retangular em aço inox – Linha Administrativa</v>
      </c>
      <c r="C1053" s="41"/>
      <c r="D1053" s="26" t="str">
        <f>TRIM(INDEX(Orçamentária!C:C,MATCH(Composições!A1053,Orçamentária!A:A,0),1))</f>
        <v>un</v>
      </c>
      <c r="E1053" s="27"/>
      <c r="F1053" s="42" t="s">
        <v>572</v>
      </c>
      <c r="G1053" s="28" t="str">
        <f t="shared" si="18"/>
        <v/>
      </c>
      <c r="H1053" s="29"/>
      <c r="I1053" s="30"/>
      <c r="J1053" s="156">
        <v>0</v>
      </c>
    </row>
    <row r="1054" spans="1:10" ht="15.75" hidden="1" thickBot="1" x14ac:dyDescent="0.3">
      <c r="A1054" s="222"/>
      <c r="B1054" s="225"/>
      <c r="C1054" s="32"/>
      <c r="D1054" s="32"/>
      <c r="E1054" s="33"/>
      <c r="F1054" s="43" t="s">
        <v>572</v>
      </c>
      <c r="G1054" s="31" t="str">
        <f t="shared" si="18"/>
        <v/>
      </c>
      <c r="H1054" s="35"/>
      <c r="I1054" s="31"/>
      <c r="J1054" s="156">
        <v>0</v>
      </c>
    </row>
    <row r="1055" spans="1:10" ht="39" hidden="1" thickBot="1" x14ac:dyDescent="0.3">
      <c r="A1055" s="222"/>
      <c r="B1055" s="225"/>
      <c r="C1055" s="36" t="s">
        <v>374</v>
      </c>
      <c r="D1055" s="47" t="s">
        <v>150</v>
      </c>
      <c r="E1055" s="37">
        <v>1</v>
      </c>
      <c r="F1055" s="34" t="s">
        <v>572</v>
      </c>
      <c r="G1055" s="34" t="str">
        <f t="shared" si="18"/>
        <v/>
      </c>
      <c r="H1055" s="39">
        <f>SUM(G1055:G1058)</f>
        <v>19.183463999999997</v>
      </c>
      <c r="I1055" s="40"/>
      <c r="J1055" s="156">
        <v>0</v>
      </c>
    </row>
    <row r="1056" spans="1:10" ht="15.75" hidden="1" thickBot="1" x14ac:dyDescent="0.3">
      <c r="A1056" s="222"/>
      <c r="B1056" s="225"/>
      <c r="C1056" s="36" t="s">
        <v>372</v>
      </c>
      <c r="D1056" s="47" t="s">
        <v>42</v>
      </c>
      <c r="E1056" s="37">
        <v>0.2974</v>
      </c>
      <c r="F1056" s="34">
        <v>26.685499999999998</v>
      </c>
      <c r="G1056" s="34">
        <f t="shared" si="18"/>
        <v>7.9362676999999993</v>
      </c>
      <c r="H1056" s="35"/>
      <c r="I1056" s="31"/>
      <c r="J1056" s="156">
        <v>0</v>
      </c>
    </row>
    <row r="1057" spans="1:10" ht="15.75" hidden="1" thickBot="1" x14ac:dyDescent="0.3">
      <c r="A1057" s="222"/>
      <c r="B1057" s="225"/>
      <c r="C1057" s="36" t="s">
        <v>54</v>
      </c>
      <c r="D1057" s="47" t="s">
        <v>12</v>
      </c>
      <c r="E1057" s="37">
        <v>0.47739999999999999</v>
      </c>
      <c r="F1057" s="31">
        <v>18.420500000000001</v>
      </c>
      <c r="G1057" s="34">
        <f t="shared" si="18"/>
        <v>8.7939466999999993</v>
      </c>
      <c r="H1057" s="35"/>
      <c r="I1057" s="31"/>
      <c r="J1057" s="156">
        <v>0</v>
      </c>
    </row>
    <row r="1058" spans="1:10" ht="15.75" hidden="1" thickBot="1" x14ac:dyDescent="0.3">
      <c r="A1058" s="222"/>
      <c r="B1058" s="225"/>
      <c r="C1058" s="36" t="s">
        <v>23</v>
      </c>
      <c r="D1058" s="47" t="s">
        <v>12</v>
      </c>
      <c r="E1058" s="37">
        <v>0.15040000000000001</v>
      </c>
      <c r="F1058" s="31">
        <v>16.311500000000002</v>
      </c>
      <c r="G1058" s="34">
        <f t="shared" si="18"/>
        <v>2.4532496000000004</v>
      </c>
      <c r="H1058" s="35"/>
      <c r="I1058" s="31"/>
      <c r="J1058" s="156">
        <v>0</v>
      </c>
    </row>
    <row r="1059" spans="1:10" ht="15.75" hidden="1" thickBot="1" x14ac:dyDescent="0.3">
      <c r="A1059" s="223"/>
      <c r="B1059" s="226"/>
      <c r="C1059" s="36"/>
      <c r="D1059" s="36"/>
      <c r="E1059" s="37"/>
      <c r="F1059" s="31" t="s">
        <v>572</v>
      </c>
      <c r="G1059" s="31" t="str">
        <f t="shared" si="18"/>
        <v/>
      </c>
      <c r="H1059" s="35"/>
      <c r="I1059" s="31"/>
      <c r="J1059" s="156">
        <v>0</v>
      </c>
    </row>
    <row r="1060" spans="1:10" ht="15.75" hidden="1" thickBot="1" x14ac:dyDescent="0.3">
      <c r="A1060" s="221" t="s">
        <v>375</v>
      </c>
      <c r="B1060" s="224" t="str">
        <f>INDEX(Orçamentária!A:B,MATCH(Composições!A1060,Orçamentária!A:A,0),2)</f>
        <v>Cuba semiencaixe quadrada com mesa</v>
      </c>
      <c r="C1060" s="41"/>
      <c r="D1060" s="26" t="str">
        <f>TRIM(INDEX(Orçamentária!C:C,MATCH(Composições!A1060,Orçamentária!A:A,0),1))</f>
        <v>un</v>
      </c>
      <c r="E1060" s="27"/>
      <c r="F1060" s="42" t="s">
        <v>572</v>
      </c>
      <c r="G1060" s="28" t="str">
        <f t="shared" si="18"/>
        <v/>
      </c>
      <c r="H1060" s="29"/>
      <c r="I1060" s="30"/>
      <c r="J1060" s="156">
        <v>0</v>
      </c>
    </row>
    <row r="1061" spans="1:10" ht="15.75" hidden="1" thickBot="1" x14ac:dyDescent="0.3">
      <c r="A1061" s="222"/>
      <c r="B1061" s="225"/>
      <c r="C1061" s="32"/>
      <c r="D1061" s="32"/>
      <c r="E1061" s="33"/>
      <c r="F1061" s="43" t="s">
        <v>572</v>
      </c>
      <c r="G1061" s="31" t="str">
        <f t="shared" si="18"/>
        <v/>
      </c>
      <c r="H1061" s="35"/>
      <c r="I1061" s="31"/>
      <c r="J1061" s="156">
        <v>0</v>
      </c>
    </row>
    <row r="1062" spans="1:10" ht="15.75" hidden="1" thickBot="1" x14ac:dyDescent="0.3">
      <c r="A1062" s="222"/>
      <c r="B1062" s="225"/>
      <c r="C1062" s="36" t="s">
        <v>376</v>
      </c>
      <c r="D1062" s="47" t="s">
        <v>150</v>
      </c>
      <c r="E1062" s="37">
        <v>1</v>
      </c>
      <c r="F1062" s="34" t="s">
        <v>572</v>
      </c>
      <c r="G1062" s="34" t="str">
        <f t="shared" si="18"/>
        <v/>
      </c>
      <c r="H1062" s="39">
        <f>SUM(G1062:G1065)</f>
        <v>33.993000699999996</v>
      </c>
      <c r="I1062" s="40"/>
      <c r="J1062" s="156">
        <v>0</v>
      </c>
    </row>
    <row r="1063" spans="1:10" ht="15.75" hidden="1" thickBot="1" x14ac:dyDescent="0.3">
      <c r="A1063" s="222"/>
      <c r="B1063" s="225"/>
      <c r="C1063" s="36" t="s">
        <v>372</v>
      </c>
      <c r="D1063" s="47" t="s">
        <v>42</v>
      </c>
      <c r="E1063" s="37">
        <v>0.52710000000000001</v>
      </c>
      <c r="F1063" s="34">
        <v>26.685499999999998</v>
      </c>
      <c r="G1063" s="34">
        <f t="shared" si="18"/>
        <v>14.065927049999999</v>
      </c>
      <c r="H1063" s="35"/>
      <c r="I1063" s="31"/>
      <c r="J1063" s="156">
        <v>0</v>
      </c>
    </row>
    <row r="1064" spans="1:10" ht="15.75" hidden="1" thickBot="1" x14ac:dyDescent="0.3">
      <c r="A1064" s="222"/>
      <c r="B1064" s="225"/>
      <c r="C1064" s="36" t="s">
        <v>23</v>
      </c>
      <c r="D1064" s="47" t="s">
        <v>12</v>
      </c>
      <c r="E1064" s="37">
        <v>0.26650000000000001</v>
      </c>
      <c r="F1064" s="31">
        <v>16.311500000000002</v>
      </c>
      <c r="G1064" s="34">
        <f t="shared" si="18"/>
        <v>4.3470147500000005</v>
      </c>
      <c r="H1064" s="35"/>
      <c r="I1064" s="31"/>
      <c r="J1064" s="156">
        <v>0</v>
      </c>
    </row>
    <row r="1065" spans="1:10" ht="15.75" hidden="1" thickBot="1" x14ac:dyDescent="0.3">
      <c r="A1065" s="222"/>
      <c r="B1065" s="225"/>
      <c r="C1065" s="36" t="s">
        <v>54</v>
      </c>
      <c r="D1065" s="47" t="s">
        <v>12</v>
      </c>
      <c r="E1065" s="37">
        <v>0.8458</v>
      </c>
      <c r="F1065" s="31">
        <v>18.420500000000001</v>
      </c>
      <c r="G1065" s="34">
        <f t="shared" si="18"/>
        <v>15.580058900000001</v>
      </c>
      <c r="H1065" s="35"/>
      <c r="I1065" s="31"/>
      <c r="J1065" s="156">
        <v>0</v>
      </c>
    </row>
    <row r="1066" spans="1:10" ht="15.75" hidden="1" thickBot="1" x14ac:dyDescent="0.3">
      <c r="A1066" s="223"/>
      <c r="B1066" s="226"/>
      <c r="C1066" s="36"/>
      <c r="D1066" s="36"/>
      <c r="E1066" s="37"/>
      <c r="F1066" s="31" t="s">
        <v>572</v>
      </c>
      <c r="G1066" s="31" t="str">
        <f t="shared" si="18"/>
        <v/>
      </c>
      <c r="H1066" s="35"/>
      <c r="I1066" s="31"/>
      <c r="J1066" s="156">
        <v>0</v>
      </c>
    </row>
    <row r="1067" spans="1:10" ht="15.75" hidden="1" thickBot="1" x14ac:dyDescent="0.3">
      <c r="A1067" s="221" t="s">
        <v>377</v>
      </c>
      <c r="B1067" s="224" t="str">
        <f>INDEX(Orçamentária!A:B,MATCH(Composições!A1067,Orçamentária!A:A,0),2)</f>
        <v>Instalação de lavatório reaproveitado</v>
      </c>
      <c r="C1067" s="41"/>
      <c r="D1067" s="26" t="str">
        <f>TRIM(INDEX(Orçamentária!C:C,MATCH(Composições!A1067,Orçamentária!A:A,0),1))</f>
        <v>un</v>
      </c>
      <c r="E1067" s="27"/>
      <c r="F1067" s="42" t="s">
        <v>572</v>
      </c>
      <c r="G1067" s="28" t="str">
        <f t="shared" si="18"/>
        <v/>
      </c>
      <c r="H1067" s="29"/>
      <c r="I1067" s="30"/>
      <c r="J1067" s="156">
        <v>0</v>
      </c>
    </row>
    <row r="1068" spans="1:10" ht="15.75" hidden="1" thickBot="1" x14ac:dyDescent="0.3">
      <c r="A1068" s="222"/>
      <c r="B1068" s="225"/>
      <c r="C1068" s="32"/>
      <c r="D1068" s="32"/>
      <c r="E1068" s="33"/>
      <c r="F1068" s="43" t="s">
        <v>572</v>
      </c>
      <c r="G1068" s="31" t="str">
        <f t="shared" si="18"/>
        <v/>
      </c>
      <c r="H1068" s="35"/>
      <c r="I1068" s="31"/>
      <c r="J1068" s="156">
        <v>0</v>
      </c>
    </row>
    <row r="1069" spans="1:10" ht="26.25" hidden="1" thickBot="1" x14ac:dyDescent="0.3">
      <c r="A1069" s="222"/>
      <c r="B1069" s="225"/>
      <c r="C1069" s="36" t="s">
        <v>378</v>
      </c>
      <c r="D1069" s="47" t="s">
        <v>299</v>
      </c>
      <c r="E1069" s="37">
        <v>2</v>
      </c>
      <c r="F1069" s="34">
        <v>8.1225000000000005</v>
      </c>
      <c r="G1069" s="34">
        <f t="shared" si="18"/>
        <v>16.245000000000001</v>
      </c>
      <c r="H1069" s="39">
        <f>SUM(G1069:G1072)</f>
        <v>29.296234899999998</v>
      </c>
      <c r="I1069" s="40"/>
      <c r="J1069" s="156">
        <v>0</v>
      </c>
    </row>
    <row r="1070" spans="1:10" ht="15.75" hidden="1" thickBot="1" x14ac:dyDescent="0.3">
      <c r="A1070" s="222"/>
      <c r="B1070" s="225"/>
      <c r="C1070" s="36" t="s">
        <v>3625</v>
      </c>
      <c r="D1070" s="47" t="s">
        <v>42</v>
      </c>
      <c r="E1070" s="37">
        <v>3.04E-2</v>
      </c>
      <c r="F1070" s="34">
        <v>52.8675</v>
      </c>
      <c r="G1070" s="34">
        <f t="shared" si="18"/>
        <v>1.607172</v>
      </c>
      <c r="H1070" s="35"/>
      <c r="I1070" s="31"/>
      <c r="J1070" s="156">
        <v>0</v>
      </c>
    </row>
    <row r="1071" spans="1:10" ht="15.75" hidden="1" thickBot="1" x14ac:dyDescent="0.3">
      <c r="A1071" s="222"/>
      <c r="B1071" s="225"/>
      <c r="C1071" s="36" t="s">
        <v>39</v>
      </c>
      <c r="D1071" s="47" t="s">
        <v>12</v>
      </c>
      <c r="E1071" s="37">
        <v>0.38700000000000001</v>
      </c>
      <c r="F1071" s="31">
        <v>21.622</v>
      </c>
      <c r="G1071" s="34">
        <f t="shared" si="18"/>
        <v>8.3677139999999994</v>
      </c>
      <c r="H1071" s="35"/>
      <c r="I1071" s="31"/>
      <c r="J1071" s="156">
        <v>0</v>
      </c>
    </row>
    <row r="1072" spans="1:10" ht="15.75" hidden="1" thickBot="1" x14ac:dyDescent="0.3">
      <c r="A1072" s="222"/>
      <c r="B1072" s="225"/>
      <c r="C1072" s="36" t="s">
        <v>23</v>
      </c>
      <c r="D1072" s="47" t="s">
        <v>12</v>
      </c>
      <c r="E1072" s="37">
        <v>0.18859999999999999</v>
      </c>
      <c r="F1072" s="31">
        <v>16.311500000000002</v>
      </c>
      <c r="G1072" s="34">
        <f t="shared" si="18"/>
        <v>3.0763489000000002</v>
      </c>
      <c r="H1072" s="35"/>
      <c r="I1072" s="31"/>
      <c r="J1072" s="156">
        <v>0</v>
      </c>
    </row>
    <row r="1073" spans="1:10" ht="15.75" hidden="1" thickBot="1" x14ac:dyDescent="0.3">
      <c r="A1073" s="222"/>
      <c r="B1073" s="225"/>
      <c r="C1073" s="36"/>
      <c r="D1073" s="47"/>
      <c r="E1073" s="37"/>
      <c r="F1073" s="34" t="s">
        <v>572</v>
      </c>
      <c r="G1073" s="34" t="str">
        <f t="shared" si="18"/>
        <v/>
      </c>
      <c r="H1073" s="35"/>
      <c r="I1073" s="31"/>
      <c r="J1073" s="156">
        <v>0</v>
      </c>
    </row>
    <row r="1074" spans="1:10" ht="15.75" hidden="1" thickBot="1" x14ac:dyDescent="0.3">
      <c r="A1074" s="221" t="s">
        <v>379</v>
      </c>
      <c r="B1074" s="224" t="str">
        <f>INDEX(Orçamentária!A:B,MATCH(Composições!A1074,Orçamentária!A:A,0),2)</f>
        <v>Instalação de mictório reaproveitado</v>
      </c>
      <c r="C1074" s="41"/>
      <c r="D1074" s="26" t="str">
        <f>TRIM(INDEX(Orçamentária!C:C,MATCH(Composições!A1074,Orçamentária!A:A,0),1))</f>
        <v>un</v>
      </c>
      <c r="E1074" s="27"/>
      <c r="F1074" s="42" t="s">
        <v>572</v>
      </c>
      <c r="G1074" s="28" t="str">
        <f t="shared" si="18"/>
        <v/>
      </c>
      <c r="H1074" s="29"/>
      <c r="I1074" s="30"/>
      <c r="J1074" s="156">
        <v>0</v>
      </c>
    </row>
    <row r="1075" spans="1:10" ht="15.75" hidden="1" thickBot="1" x14ac:dyDescent="0.3">
      <c r="A1075" s="222"/>
      <c r="B1075" s="225"/>
      <c r="C1075" s="32"/>
      <c r="D1075" s="32"/>
      <c r="E1075" s="33"/>
      <c r="F1075" s="43" t="s">
        <v>572</v>
      </c>
      <c r="G1075" s="31" t="str">
        <f t="shared" si="18"/>
        <v/>
      </c>
      <c r="H1075" s="35"/>
      <c r="I1075" s="31"/>
      <c r="J1075" s="156">
        <v>0</v>
      </c>
    </row>
    <row r="1076" spans="1:10" ht="26.25" hidden="1" thickBot="1" x14ac:dyDescent="0.3">
      <c r="A1076" s="222"/>
      <c r="B1076" s="225"/>
      <c r="C1076" s="36" t="s">
        <v>378</v>
      </c>
      <c r="D1076" s="47" t="s">
        <v>299</v>
      </c>
      <c r="E1076" s="37">
        <v>2</v>
      </c>
      <c r="F1076" s="34">
        <v>8.1225000000000005</v>
      </c>
      <c r="G1076" s="31">
        <f t="shared" si="18"/>
        <v>16.245000000000001</v>
      </c>
      <c r="H1076" s="39">
        <f>SUM(G1076:G1079)</f>
        <v>29.882060000000003</v>
      </c>
      <c r="I1076" s="40"/>
      <c r="J1076" s="156">
        <v>0</v>
      </c>
    </row>
    <row r="1077" spans="1:10" ht="15.75" hidden="1" thickBot="1" x14ac:dyDescent="0.3">
      <c r="A1077" s="222"/>
      <c r="B1077" s="225"/>
      <c r="C1077" s="36" t="s">
        <v>380</v>
      </c>
      <c r="D1077" s="47" t="s">
        <v>299</v>
      </c>
      <c r="E1077" s="37">
        <v>3.6499999999999998E-2</v>
      </c>
      <c r="F1077" s="34">
        <v>3.7049999999999996</v>
      </c>
      <c r="G1077" s="31">
        <f t="shared" si="18"/>
        <v>0.13523249999999998</v>
      </c>
      <c r="H1077" s="35"/>
      <c r="I1077" s="31"/>
      <c r="J1077" s="156">
        <v>0</v>
      </c>
    </row>
    <row r="1078" spans="1:10" ht="15.75" hidden="1" thickBot="1" x14ac:dyDescent="0.3">
      <c r="A1078" s="222"/>
      <c r="B1078" s="225"/>
      <c r="C1078" s="36" t="s">
        <v>23</v>
      </c>
      <c r="D1078" s="47" t="s">
        <v>12</v>
      </c>
      <c r="E1078" s="37">
        <f>ROUND(0.3179/2,4)</f>
        <v>0.159</v>
      </c>
      <c r="F1078" s="31">
        <v>16.311500000000002</v>
      </c>
      <c r="G1078" s="34">
        <f t="shared" si="18"/>
        <v>2.5935285000000006</v>
      </c>
      <c r="H1078" s="35"/>
      <c r="I1078" s="31"/>
      <c r="J1078" s="156">
        <v>0</v>
      </c>
    </row>
    <row r="1079" spans="1:10" ht="15.75" hidden="1" thickBot="1" x14ac:dyDescent="0.3">
      <c r="A1079" s="222"/>
      <c r="B1079" s="225"/>
      <c r="C1079" s="36" t="s">
        <v>39</v>
      </c>
      <c r="D1079" s="47" t="s">
        <v>12</v>
      </c>
      <c r="E1079" s="37">
        <f>1.009/2</f>
        <v>0.50449999999999995</v>
      </c>
      <c r="F1079" s="31">
        <v>21.622</v>
      </c>
      <c r="G1079" s="34">
        <f t="shared" si="18"/>
        <v>10.908299</v>
      </c>
      <c r="H1079" s="35"/>
      <c r="I1079" s="31"/>
      <c r="J1079" s="156">
        <v>0</v>
      </c>
    </row>
    <row r="1080" spans="1:10" ht="15.75" hidden="1" thickBot="1" x14ac:dyDescent="0.3">
      <c r="A1080" s="222"/>
      <c r="B1080" s="225"/>
      <c r="C1080" s="36"/>
      <c r="D1080" s="47"/>
      <c r="E1080" s="37"/>
      <c r="F1080" s="34" t="s">
        <v>572</v>
      </c>
      <c r="G1080" s="34" t="str">
        <f t="shared" si="18"/>
        <v/>
      </c>
      <c r="H1080" s="35"/>
      <c r="I1080" s="31"/>
      <c r="J1080" s="156">
        <v>0</v>
      </c>
    </row>
    <row r="1081" spans="1:10" ht="26.25" hidden="1" thickBot="1" x14ac:dyDescent="0.3">
      <c r="A1081" s="222"/>
      <c r="B1081" s="225"/>
      <c r="C1081" s="52" t="s">
        <v>381</v>
      </c>
      <c r="D1081" s="47"/>
      <c r="E1081" s="37"/>
      <c r="F1081" s="34" t="s">
        <v>572</v>
      </c>
      <c r="G1081" s="34" t="str">
        <f t="shared" si="18"/>
        <v/>
      </c>
      <c r="H1081" s="35"/>
      <c r="I1081" s="31"/>
      <c r="J1081" s="156">
        <v>0</v>
      </c>
    </row>
    <row r="1082" spans="1:10" ht="15.75" hidden="1" thickBot="1" x14ac:dyDescent="0.3">
      <c r="A1082" s="222"/>
      <c r="B1082" s="225"/>
      <c r="C1082" s="36"/>
      <c r="D1082" s="36"/>
      <c r="E1082" s="37"/>
      <c r="F1082" s="34" t="s">
        <v>572</v>
      </c>
      <c r="G1082" s="34" t="str">
        <f t="shared" si="18"/>
        <v/>
      </c>
      <c r="H1082" s="35"/>
      <c r="I1082" s="31"/>
      <c r="J1082" s="156">
        <v>0</v>
      </c>
    </row>
    <row r="1083" spans="1:10" ht="15.75" hidden="1" thickBot="1" x14ac:dyDescent="0.3">
      <c r="A1083" s="221" t="s">
        <v>382</v>
      </c>
      <c r="B1083" s="224" t="str">
        <f>INDEX(Orçamentária!A:B,MATCH(Composições!A1083,Orçamentária!A:A,0),2)</f>
        <v>Instalação de vaso sanitário reaproveitado</v>
      </c>
      <c r="C1083" s="41"/>
      <c r="D1083" s="26" t="str">
        <f>TRIM(INDEX(Orçamentária!C:C,MATCH(Composições!A1083,Orçamentária!A:A,0),1))</f>
        <v>un</v>
      </c>
      <c r="E1083" s="27"/>
      <c r="F1083" s="42" t="s">
        <v>572</v>
      </c>
      <c r="G1083" s="28" t="str">
        <f t="shared" si="18"/>
        <v/>
      </c>
      <c r="H1083" s="29"/>
      <c r="I1083" s="30"/>
      <c r="J1083" s="156">
        <v>0</v>
      </c>
    </row>
    <row r="1084" spans="1:10" ht="15.75" hidden="1" thickBot="1" x14ac:dyDescent="0.3">
      <c r="A1084" s="222"/>
      <c r="B1084" s="225"/>
      <c r="C1084" s="32"/>
      <c r="D1084" s="32"/>
      <c r="E1084" s="33"/>
      <c r="F1084" s="43" t="s">
        <v>572</v>
      </c>
      <c r="G1084" s="31" t="str">
        <f t="shared" si="18"/>
        <v/>
      </c>
      <c r="H1084" s="35"/>
      <c r="I1084" s="31"/>
      <c r="J1084" s="156">
        <v>0</v>
      </c>
    </row>
    <row r="1085" spans="1:10" ht="26.25" hidden="1" thickBot="1" x14ac:dyDescent="0.3">
      <c r="A1085" s="222"/>
      <c r="B1085" s="225"/>
      <c r="C1085" s="36" t="s">
        <v>367</v>
      </c>
      <c r="D1085" s="47" t="s">
        <v>299</v>
      </c>
      <c r="E1085" s="37">
        <v>2</v>
      </c>
      <c r="F1085" s="34">
        <v>10.953499999999998</v>
      </c>
      <c r="G1085" s="34">
        <f t="shared" si="18"/>
        <v>21.906999999999996</v>
      </c>
      <c r="H1085" s="39">
        <f>SUM(G1085:G1089)</f>
        <v>45.752805599999988</v>
      </c>
      <c r="I1085" s="40"/>
      <c r="J1085" s="156">
        <v>0</v>
      </c>
    </row>
    <row r="1086" spans="1:10" ht="15.75" hidden="1" thickBot="1" x14ac:dyDescent="0.3">
      <c r="A1086" s="222"/>
      <c r="B1086" s="225"/>
      <c r="C1086" s="36" t="s">
        <v>327</v>
      </c>
      <c r="D1086" s="47" t="s">
        <v>20</v>
      </c>
      <c r="E1086" s="37">
        <v>1</v>
      </c>
      <c r="F1086" s="34">
        <v>2.7454999999999998</v>
      </c>
      <c r="G1086" s="54">
        <f t="shared" si="18"/>
        <v>2.7454999999999998</v>
      </c>
      <c r="H1086" s="35"/>
      <c r="I1086" s="31"/>
      <c r="J1086" s="156">
        <v>0</v>
      </c>
    </row>
    <row r="1087" spans="1:10" ht="15.75" hidden="1" thickBot="1" x14ac:dyDescent="0.3">
      <c r="A1087" s="222"/>
      <c r="B1087" s="225"/>
      <c r="C1087" s="36" t="s">
        <v>3625</v>
      </c>
      <c r="D1087" s="47" t="s">
        <v>42</v>
      </c>
      <c r="E1087" s="37">
        <v>8.8099999999999998E-2</v>
      </c>
      <c r="F1087" s="34">
        <v>52.8675</v>
      </c>
      <c r="G1087" s="34">
        <f t="shared" si="18"/>
        <v>4.6576267499999995</v>
      </c>
      <c r="H1087" s="35"/>
      <c r="I1087" s="31"/>
      <c r="J1087" s="156">
        <v>0</v>
      </c>
    </row>
    <row r="1088" spans="1:10" ht="15.75" hidden="1" thickBot="1" x14ac:dyDescent="0.3">
      <c r="A1088" s="222"/>
      <c r="B1088" s="225"/>
      <c r="C1088" s="36" t="s">
        <v>39</v>
      </c>
      <c r="D1088" s="47" t="s">
        <v>12</v>
      </c>
      <c r="E1088" s="37">
        <v>0.49680000000000002</v>
      </c>
      <c r="F1088" s="31">
        <v>21.622</v>
      </c>
      <c r="G1088" s="34">
        <f t="shared" si="18"/>
        <v>10.7418096</v>
      </c>
      <c r="H1088" s="35"/>
      <c r="I1088" s="31"/>
      <c r="J1088" s="156">
        <v>0</v>
      </c>
    </row>
    <row r="1089" spans="1:10" ht="15.75" hidden="1" thickBot="1" x14ac:dyDescent="0.3">
      <c r="A1089" s="222"/>
      <c r="B1089" s="225"/>
      <c r="C1089" s="36" t="s">
        <v>23</v>
      </c>
      <c r="D1089" s="47" t="s">
        <v>12</v>
      </c>
      <c r="E1089" s="37">
        <v>0.34949999999999998</v>
      </c>
      <c r="F1089" s="31">
        <v>16.311500000000002</v>
      </c>
      <c r="G1089" s="34">
        <f t="shared" si="18"/>
        <v>5.7008692500000002</v>
      </c>
      <c r="H1089" s="35"/>
      <c r="I1089" s="31"/>
      <c r="J1089" s="156">
        <v>0</v>
      </c>
    </row>
    <row r="1090" spans="1:10" ht="15.75" hidden="1" thickBot="1" x14ac:dyDescent="0.3">
      <c r="A1090" s="222"/>
      <c r="B1090" s="225"/>
      <c r="C1090" s="36"/>
      <c r="D1090" s="36"/>
      <c r="E1090" s="37"/>
      <c r="F1090" s="31" t="s">
        <v>572</v>
      </c>
      <c r="G1090" s="34" t="str">
        <f t="shared" si="18"/>
        <v/>
      </c>
      <c r="H1090" s="35"/>
      <c r="I1090" s="31"/>
      <c r="J1090" s="156">
        <v>0</v>
      </c>
    </row>
    <row r="1091" spans="1:10" ht="15.75" hidden="1" thickBot="1" x14ac:dyDescent="0.3">
      <c r="A1091" s="221" t="s">
        <v>383</v>
      </c>
      <c r="B1091" s="224" t="str">
        <f>INDEX(Orçamentária!A:B,MATCH(Composições!A1091,Orçamentária!A:A,0),2)</f>
        <v>Lavatório suspenso</v>
      </c>
      <c r="C1091" s="41"/>
      <c r="D1091" s="26" t="str">
        <f>TRIM(INDEX(Orçamentária!C:C,MATCH(Composições!A1091,Orçamentária!A:A,0),1))</f>
        <v>un</v>
      </c>
      <c r="E1091" s="27"/>
      <c r="F1091" s="42" t="s">
        <v>572</v>
      </c>
      <c r="G1091" s="28" t="str">
        <f t="shared" si="18"/>
        <v/>
      </c>
      <c r="H1091" s="29"/>
      <c r="I1091" s="30"/>
      <c r="J1091" s="156">
        <v>0</v>
      </c>
    </row>
    <row r="1092" spans="1:10" ht="15.75" hidden="1" thickBot="1" x14ac:dyDescent="0.3">
      <c r="A1092" s="222"/>
      <c r="B1092" s="225"/>
      <c r="C1092" s="32"/>
      <c r="D1092" s="32"/>
      <c r="E1092" s="33"/>
      <c r="F1092" s="43" t="s">
        <v>572</v>
      </c>
      <c r="G1092" s="31" t="str">
        <f t="shared" si="18"/>
        <v/>
      </c>
      <c r="H1092" s="35"/>
      <c r="I1092" s="31"/>
      <c r="J1092" s="156">
        <v>0</v>
      </c>
    </row>
    <row r="1093" spans="1:10" ht="15.75" hidden="1" thickBot="1" x14ac:dyDescent="0.3">
      <c r="A1093" s="222"/>
      <c r="B1093" s="225"/>
      <c r="C1093" s="36" t="s">
        <v>384</v>
      </c>
      <c r="D1093" s="47" t="s">
        <v>299</v>
      </c>
      <c r="E1093" s="37">
        <v>1</v>
      </c>
      <c r="F1093" s="34">
        <v>86.763499999999993</v>
      </c>
      <c r="G1093" s="34">
        <f t="shared" si="18"/>
        <v>86.763499999999993</v>
      </c>
      <c r="H1093" s="39">
        <f>SUM(G1093:G1097)</f>
        <v>116.0597349</v>
      </c>
      <c r="I1093" s="40"/>
      <c r="J1093" s="156">
        <v>0</v>
      </c>
    </row>
    <row r="1094" spans="1:10" ht="26.25" hidden="1" thickBot="1" x14ac:dyDescent="0.3">
      <c r="A1094" s="222"/>
      <c r="B1094" s="225"/>
      <c r="C1094" s="36" t="s">
        <v>378</v>
      </c>
      <c r="D1094" s="47" t="s">
        <v>299</v>
      </c>
      <c r="E1094" s="37">
        <v>2</v>
      </c>
      <c r="F1094" s="34">
        <v>8.1225000000000005</v>
      </c>
      <c r="G1094" s="34">
        <f t="shared" si="18"/>
        <v>16.245000000000001</v>
      </c>
      <c r="H1094" s="35"/>
      <c r="I1094" s="31"/>
      <c r="J1094" s="156">
        <v>0</v>
      </c>
    </row>
    <row r="1095" spans="1:10" ht="15.75" hidden="1" thickBot="1" x14ac:dyDescent="0.3">
      <c r="A1095" s="222"/>
      <c r="B1095" s="225"/>
      <c r="C1095" s="36" t="s">
        <v>3625</v>
      </c>
      <c r="D1095" s="47" t="s">
        <v>42</v>
      </c>
      <c r="E1095" s="37">
        <v>3.04E-2</v>
      </c>
      <c r="F1095" s="34">
        <v>52.8675</v>
      </c>
      <c r="G1095" s="34">
        <f t="shared" si="18"/>
        <v>1.607172</v>
      </c>
      <c r="H1095" s="35"/>
      <c r="I1095" s="31"/>
      <c r="J1095" s="156">
        <v>0</v>
      </c>
    </row>
    <row r="1096" spans="1:10" ht="15.75" hidden="1" thickBot="1" x14ac:dyDescent="0.3">
      <c r="A1096" s="222"/>
      <c r="B1096" s="225"/>
      <c r="C1096" s="36" t="s">
        <v>39</v>
      </c>
      <c r="D1096" s="47" t="s">
        <v>12</v>
      </c>
      <c r="E1096" s="37">
        <v>0.38700000000000001</v>
      </c>
      <c r="F1096" s="31">
        <v>21.622</v>
      </c>
      <c r="G1096" s="34">
        <f t="shared" si="18"/>
        <v>8.3677139999999994</v>
      </c>
      <c r="H1096" s="35"/>
      <c r="I1096" s="31"/>
      <c r="J1096" s="156">
        <v>0</v>
      </c>
    </row>
    <row r="1097" spans="1:10" ht="15.75" hidden="1" thickBot="1" x14ac:dyDescent="0.3">
      <c r="A1097" s="222"/>
      <c r="B1097" s="225"/>
      <c r="C1097" s="36" t="s">
        <v>23</v>
      </c>
      <c r="D1097" s="47" t="s">
        <v>12</v>
      </c>
      <c r="E1097" s="37">
        <v>0.18859999999999999</v>
      </c>
      <c r="F1097" s="31">
        <v>16.311500000000002</v>
      </c>
      <c r="G1097" s="34">
        <f t="shared" si="18"/>
        <v>3.0763489000000002</v>
      </c>
      <c r="H1097" s="35"/>
      <c r="I1097" s="31"/>
      <c r="J1097" s="156">
        <v>0</v>
      </c>
    </row>
    <row r="1098" spans="1:10" ht="15.75" hidden="1" thickBot="1" x14ac:dyDescent="0.3">
      <c r="A1098" s="223"/>
      <c r="B1098" s="226"/>
      <c r="C1098" s="36"/>
      <c r="D1098" s="36"/>
      <c r="E1098" s="37"/>
      <c r="F1098" s="31" t="s">
        <v>572</v>
      </c>
      <c r="G1098" s="31" t="str">
        <f t="shared" si="18"/>
        <v/>
      </c>
      <c r="H1098" s="35"/>
      <c r="I1098" s="31"/>
      <c r="J1098" s="156">
        <v>0</v>
      </c>
    </row>
    <row r="1099" spans="1:10" ht="15.75" hidden="1" thickBot="1" x14ac:dyDescent="0.3">
      <c r="A1099" s="221" t="s">
        <v>385</v>
      </c>
      <c r="B1099" s="224" t="str">
        <f>INDEX(Orçamentária!A:B,MATCH(Composições!A1099,Orçamentária!A:A,0),2)</f>
        <v>Mictório – Linha Administrativa</v>
      </c>
      <c r="C1099" s="41"/>
      <c r="D1099" s="26" t="str">
        <f>TRIM(INDEX(Orçamentária!C:C,MATCH(Composições!A1099,Orçamentária!A:A,0),1))</f>
        <v>un</v>
      </c>
      <c r="E1099" s="27"/>
      <c r="F1099" s="42" t="s">
        <v>572</v>
      </c>
      <c r="G1099" s="28" t="str">
        <f t="shared" si="18"/>
        <v/>
      </c>
      <c r="H1099" s="29"/>
      <c r="I1099" s="30"/>
      <c r="J1099" s="156">
        <v>0</v>
      </c>
    </row>
    <row r="1100" spans="1:10" ht="15.75" hidden="1" thickBot="1" x14ac:dyDescent="0.3">
      <c r="A1100" s="222"/>
      <c r="B1100" s="225"/>
      <c r="C1100" s="32"/>
      <c r="D1100" s="32"/>
      <c r="E1100" s="33"/>
      <c r="F1100" s="43" t="s">
        <v>572</v>
      </c>
      <c r="G1100" s="31" t="str">
        <f t="shared" si="18"/>
        <v/>
      </c>
      <c r="H1100" s="35"/>
      <c r="I1100" s="31"/>
      <c r="J1100" s="156">
        <v>0</v>
      </c>
    </row>
    <row r="1101" spans="1:10" ht="15.75" hidden="1" thickBot="1" x14ac:dyDescent="0.3">
      <c r="A1101" s="222"/>
      <c r="B1101" s="225"/>
      <c r="C1101" s="36" t="s">
        <v>386</v>
      </c>
      <c r="D1101" s="47" t="s">
        <v>299</v>
      </c>
      <c r="E1101" s="37">
        <v>1</v>
      </c>
      <c r="F1101" s="34">
        <v>302.25200000000001</v>
      </c>
      <c r="G1101" s="34">
        <f t="shared" si="18"/>
        <v>302.25200000000001</v>
      </c>
      <c r="H1101" s="39">
        <f>SUM(G1101:G1105)</f>
        <v>332.16740500000003</v>
      </c>
      <c r="I1101" s="40"/>
      <c r="J1101" s="156">
        <v>0</v>
      </c>
    </row>
    <row r="1102" spans="1:10" ht="26.25" hidden="1" thickBot="1" x14ac:dyDescent="0.3">
      <c r="A1102" s="222"/>
      <c r="B1102" s="225"/>
      <c r="C1102" s="36" t="s">
        <v>378</v>
      </c>
      <c r="D1102" s="47" t="s">
        <v>299</v>
      </c>
      <c r="E1102" s="37">
        <v>2</v>
      </c>
      <c r="F1102" s="34">
        <v>8.1225000000000005</v>
      </c>
      <c r="G1102" s="31">
        <f t="shared" si="18"/>
        <v>16.245000000000001</v>
      </c>
      <c r="H1102" s="35"/>
      <c r="I1102" s="31"/>
      <c r="J1102" s="156">
        <v>0</v>
      </c>
    </row>
    <row r="1103" spans="1:10" ht="15.75" hidden="1" thickBot="1" x14ac:dyDescent="0.3">
      <c r="A1103" s="222"/>
      <c r="B1103" s="225"/>
      <c r="C1103" s="36" t="s">
        <v>380</v>
      </c>
      <c r="D1103" s="47" t="s">
        <v>299</v>
      </c>
      <c r="E1103" s="37">
        <f>0.076-0.0175-0.013</f>
        <v>4.5499999999999999E-2</v>
      </c>
      <c r="F1103" s="34">
        <v>3.7049999999999996</v>
      </c>
      <c r="G1103" s="31">
        <f t="shared" si="18"/>
        <v>0.16857749999999999</v>
      </c>
      <c r="H1103" s="35"/>
      <c r="I1103" s="31"/>
      <c r="J1103" s="156">
        <v>0</v>
      </c>
    </row>
    <row r="1104" spans="1:10" ht="15.75" hidden="1" thickBot="1" x14ac:dyDescent="0.3">
      <c r="A1104" s="222"/>
      <c r="B1104" s="225"/>
      <c r="C1104" s="36" t="s">
        <v>23</v>
      </c>
      <c r="D1104" s="47" t="s">
        <v>12</v>
      </c>
      <c r="E1104" s="37">
        <f>ROUND(0.3179/2,4)</f>
        <v>0.159</v>
      </c>
      <c r="F1104" s="31">
        <v>16.311500000000002</v>
      </c>
      <c r="G1104" s="34">
        <f t="shared" si="18"/>
        <v>2.5935285000000006</v>
      </c>
      <c r="H1104" s="35"/>
      <c r="I1104" s="31"/>
      <c r="J1104" s="156">
        <v>0</v>
      </c>
    </row>
    <row r="1105" spans="1:10" ht="15.75" hidden="1" thickBot="1" x14ac:dyDescent="0.3">
      <c r="A1105" s="222"/>
      <c r="B1105" s="225"/>
      <c r="C1105" s="36" t="s">
        <v>39</v>
      </c>
      <c r="D1105" s="47" t="s">
        <v>12</v>
      </c>
      <c r="E1105" s="37">
        <f>1.009/2</f>
        <v>0.50449999999999995</v>
      </c>
      <c r="F1105" s="31">
        <v>21.622</v>
      </c>
      <c r="G1105" s="34">
        <f t="shared" si="18"/>
        <v>10.908299</v>
      </c>
      <c r="H1105" s="35"/>
      <c r="I1105" s="31"/>
      <c r="J1105" s="156">
        <v>0</v>
      </c>
    </row>
    <row r="1106" spans="1:10" ht="15.75" hidden="1" thickBot="1" x14ac:dyDescent="0.3">
      <c r="A1106" s="222"/>
      <c r="B1106" s="225"/>
      <c r="C1106" s="36"/>
      <c r="D1106" s="47"/>
      <c r="E1106" s="37"/>
      <c r="F1106" s="34" t="s">
        <v>572</v>
      </c>
      <c r="G1106" s="34" t="str">
        <f t="shared" si="18"/>
        <v/>
      </c>
      <c r="H1106" s="35"/>
      <c r="I1106" s="31"/>
      <c r="J1106" s="156">
        <v>0</v>
      </c>
    </row>
    <row r="1107" spans="1:10" ht="26.25" hidden="1" thickBot="1" x14ac:dyDescent="0.3">
      <c r="A1107" s="222"/>
      <c r="B1107" s="225"/>
      <c r="C1107" s="52" t="s">
        <v>381</v>
      </c>
      <c r="D1107" s="47"/>
      <c r="E1107" s="37"/>
      <c r="F1107" s="34" t="s">
        <v>572</v>
      </c>
      <c r="G1107" s="34" t="str">
        <f t="shared" si="18"/>
        <v/>
      </c>
      <c r="H1107" s="35"/>
      <c r="I1107" s="31"/>
      <c r="J1107" s="156">
        <v>0</v>
      </c>
    </row>
    <row r="1108" spans="1:10" ht="15.75" hidden="1" thickBot="1" x14ac:dyDescent="0.3">
      <c r="A1108" s="222"/>
      <c r="B1108" s="225"/>
      <c r="C1108" s="36"/>
      <c r="D1108" s="47"/>
      <c r="E1108" s="37"/>
      <c r="F1108" s="34" t="s">
        <v>572</v>
      </c>
      <c r="G1108" s="34" t="str">
        <f t="shared" si="18"/>
        <v/>
      </c>
      <c r="H1108" s="35"/>
      <c r="I1108" s="31"/>
      <c r="J1108" s="156">
        <v>0</v>
      </c>
    </row>
    <row r="1109" spans="1:10" ht="15.75" hidden="1" thickBot="1" x14ac:dyDescent="0.3">
      <c r="A1109" s="221" t="s">
        <v>387</v>
      </c>
      <c r="B1109" s="224" t="str">
        <f>INDEX(Orçamentária!A:B,MATCH(Composições!A1109,Orçamentária!A:A,0),2)</f>
        <v>Tanque 38 litros – Linha Administrativa</v>
      </c>
      <c r="C1109" s="41"/>
      <c r="D1109" s="26" t="str">
        <f>TRIM(INDEX(Orçamentária!C:C,MATCH(Composições!A1109,Orçamentária!A:A,0),1))</f>
        <v>un</v>
      </c>
      <c r="E1109" s="27"/>
      <c r="F1109" s="42" t="s">
        <v>572</v>
      </c>
      <c r="G1109" s="28" t="str">
        <f t="shared" ref="G1109:G1172" si="19">IF(ISNUMBER(F1109),E1109*F1109,"")</f>
        <v/>
      </c>
      <c r="H1109" s="29"/>
      <c r="I1109" s="30"/>
      <c r="J1109" s="156">
        <v>0</v>
      </c>
    </row>
    <row r="1110" spans="1:10" ht="15.75" hidden="1" thickBot="1" x14ac:dyDescent="0.3">
      <c r="A1110" s="222"/>
      <c r="B1110" s="225"/>
      <c r="C1110" s="32"/>
      <c r="D1110" s="32"/>
      <c r="E1110" s="33"/>
      <c r="F1110" s="43" t="s">
        <v>572</v>
      </c>
      <c r="G1110" s="31" t="str">
        <f t="shared" si="19"/>
        <v/>
      </c>
      <c r="H1110" s="35"/>
      <c r="I1110" s="31"/>
      <c r="J1110" s="156">
        <v>0</v>
      </c>
    </row>
    <row r="1111" spans="1:10" ht="26.25" hidden="1" thickBot="1" x14ac:dyDescent="0.3">
      <c r="A1111" s="222"/>
      <c r="B1111" s="225"/>
      <c r="C1111" s="36" t="s">
        <v>388</v>
      </c>
      <c r="D1111" s="47" t="s">
        <v>150</v>
      </c>
      <c r="E1111" s="37">
        <v>1</v>
      </c>
      <c r="F1111" s="34" t="s">
        <v>572</v>
      </c>
      <c r="G1111" s="34" t="str">
        <f t="shared" si="19"/>
        <v/>
      </c>
      <c r="H1111" s="39">
        <f>SUM(G1111:G1115)</f>
        <v>57.959032600000008</v>
      </c>
      <c r="I1111" s="40"/>
      <c r="J1111" s="156">
        <v>0</v>
      </c>
    </row>
    <row r="1112" spans="1:10" ht="26.25" hidden="1" thickBot="1" x14ac:dyDescent="0.3">
      <c r="A1112" s="222"/>
      <c r="B1112" s="225"/>
      <c r="C1112" s="36" t="s">
        <v>378</v>
      </c>
      <c r="D1112" s="47" t="s">
        <v>299</v>
      </c>
      <c r="E1112" s="37">
        <v>4</v>
      </c>
      <c r="F1112" s="34">
        <v>8.1225000000000005</v>
      </c>
      <c r="G1112" s="34">
        <f t="shared" si="19"/>
        <v>32.49</v>
      </c>
      <c r="H1112" s="35"/>
      <c r="I1112" s="31"/>
      <c r="J1112" s="156">
        <v>0</v>
      </c>
    </row>
    <row r="1113" spans="1:10" ht="15.75" hidden="1" thickBot="1" x14ac:dyDescent="0.3">
      <c r="A1113" s="222"/>
      <c r="B1113" s="225"/>
      <c r="C1113" s="36" t="s">
        <v>3625</v>
      </c>
      <c r="D1113" s="47" t="s">
        <v>42</v>
      </c>
      <c r="E1113" s="37">
        <v>3.9E-2</v>
      </c>
      <c r="F1113" s="34">
        <v>52.8675</v>
      </c>
      <c r="G1113" s="34">
        <f t="shared" si="19"/>
        <v>2.0618325</v>
      </c>
      <c r="H1113" s="35"/>
      <c r="I1113" s="31"/>
      <c r="J1113" s="156">
        <v>0</v>
      </c>
    </row>
    <row r="1114" spans="1:10" ht="15.75" hidden="1" thickBot="1" x14ac:dyDescent="0.3">
      <c r="A1114" s="222"/>
      <c r="B1114" s="225"/>
      <c r="C1114" s="36" t="s">
        <v>39</v>
      </c>
      <c r="D1114" s="47" t="s">
        <v>12</v>
      </c>
      <c r="E1114" s="37">
        <v>0.8226</v>
      </c>
      <c r="F1114" s="31">
        <v>21.622</v>
      </c>
      <c r="G1114" s="34">
        <f t="shared" si="19"/>
        <v>17.786257200000001</v>
      </c>
      <c r="H1114" s="35"/>
      <c r="I1114" s="31"/>
      <c r="J1114" s="156">
        <v>0</v>
      </c>
    </row>
    <row r="1115" spans="1:10" ht="15.75" hidden="1" thickBot="1" x14ac:dyDescent="0.3">
      <c r="A1115" s="222"/>
      <c r="B1115" s="225"/>
      <c r="C1115" s="36" t="s">
        <v>23</v>
      </c>
      <c r="D1115" s="47" t="s">
        <v>12</v>
      </c>
      <c r="E1115" s="37">
        <v>0.34460000000000002</v>
      </c>
      <c r="F1115" s="31">
        <v>16.311500000000002</v>
      </c>
      <c r="G1115" s="34">
        <f t="shared" si="19"/>
        <v>5.6209429000000011</v>
      </c>
      <c r="H1115" s="35"/>
      <c r="I1115" s="31"/>
      <c r="J1115" s="156">
        <v>0</v>
      </c>
    </row>
    <row r="1116" spans="1:10" ht="15.75" hidden="1" thickBot="1" x14ac:dyDescent="0.3">
      <c r="A1116" s="223"/>
      <c r="B1116" s="226"/>
      <c r="C1116" s="36"/>
      <c r="D1116" s="36"/>
      <c r="E1116" s="37"/>
      <c r="F1116" s="31" t="s">
        <v>572</v>
      </c>
      <c r="G1116" s="31" t="str">
        <f t="shared" si="19"/>
        <v/>
      </c>
      <c r="H1116" s="35"/>
      <c r="I1116" s="31"/>
      <c r="J1116" s="156">
        <v>0</v>
      </c>
    </row>
    <row r="1117" spans="1:10" ht="15.75" hidden="1" thickBot="1" x14ac:dyDescent="0.3">
      <c r="A1117" s="221" t="s">
        <v>389</v>
      </c>
      <c r="B1117" s="224" t="str">
        <f>INDEX(Orçamentária!A:B,MATCH(Composições!A1117,Orçamentária!A:A,0),2)</f>
        <v>Acabamento para registro GD – Linha Administrativa</v>
      </c>
      <c r="C1117" s="41"/>
      <c r="D1117" s="26" t="str">
        <f>TRIM(INDEX(Orçamentária!C:C,MATCH(Composições!A1117,Orçamentária!A:A,0),1))</f>
        <v>un</v>
      </c>
      <c r="E1117" s="27"/>
      <c r="F1117" s="42" t="s">
        <v>572</v>
      </c>
      <c r="G1117" s="28" t="str">
        <f t="shared" si="19"/>
        <v/>
      </c>
      <c r="H1117" s="29"/>
      <c r="I1117" s="30"/>
      <c r="J1117" s="156">
        <v>0</v>
      </c>
    </row>
    <row r="1118" spans="1:10" ht="15.75" hidden="1" thickBot="1" x14ac:dyDescent="0.3">
      <c r="A1118" s="222"/>
      <c r="B1118" s="225"/>
      <c r="C1118" s="32"/>
      <c r="D1118" s="32"/>
      <c r="E1118" s="33"/>
      <c r="F1118" s="43" t="s">
        <v>572</v>
      </c>
      <c r="G1118" s="31" t="str">
        <f t="shared" si="19"/>
        <v/>
      </c>
      <c r="H1118" s="35"/>
      <c r="I1118" s="31"/>
      <c r="J1118" s="156">
        <v>0</v>
      </c>
    </row>
    <row r="1119" spans="1:10" ht="26.25" hidden="1" thickBot="1" x14ac:dyDescent="0.3">
      <c r="A1119" s="222"/>
      <c r="B1119" s="225"/>
      <c r="C1119" s="36" t="s">
        <v>390</v>
      </c>
      <c r="D1119" s="47" t="s">
        <v>150</v>
      </c>
      <c r="E1119" s="37">
        <v>1</v>
      </c>
      <c r="F1119" s="34" t="s">
        <v>572</v>
      </c>
      <c r="G1119" s="34" t="str">
        <f t="shared" si="19"/>
        <v/>
      </c>
      <c r="H1119" s="39">
        <f>SUM(G1119:G1120)</f>
        <v>1.72976</v>
      </c>
      <c r="I1119" s="40"/>
      <c r="J1119" s="156">
        <v>0</v>
      </c>
    </row>
    <row r="1120" spans="1:10" ht="15.75" hidden="1" thickBot="1" x14ac:dyDescent="0.3">
      <c r="A1120" s="222"/>
      <c r="B1120" s="225"/>
      <c r="C1120" s="36" t="s">
        <v>39</v>
      </c>
      <c r="D1120" s="47" t="s">
        <v>12</v>
      </c>
      <c r="E1120" s="37">
        <v>0.08</v>
      </c>
      <c r="F1120" s="31">
        <v>21.622</v>
      </c>
      <c r="G1120" s="34">
        <f t="shared" si="19"/>
        <v>1.72976</v>
      </c>
      <c r="H1120" s="35"/>
      <c r="I1120" s="31"/>
      <c r="J1120" s="156">
        <v>0</v>
      </c>
    </row>
    <row r="1121" spans="1:10" ht="15.75" hidden="1" thickBot="1" x14ac:dyDescent="0.3">
      <c r="A1121" s="223"/>
      <c r="B1121" s="226"/>
      <c r="C1121" s="52"/>
      <c r="D1121" s="36"/>
      <c r="E1121" s="37"/>
      <c r="F1121" s="31" t="s">
        <v>572</v>
      </c>
      <c r="G1121" s="31" t="str">
        <f t="shared" si="19"/>
        <v/>
      </c>
      <c r="H1121" s="35"/>
      <c r="I1121" s="31"/>
      <c r="J1121" s="156">
        <v>0</v>
      </c>
    </row>
    <row r="1122" spans="1:10" ht="15.75" hidden="1" thickBot="1" x14ac:dyDescent="0.3">
      <c r="A1122" s="221" t="s">
        <v>391</v>
      </c>
      <c r="B1122" s="224" t="str">
        <f>INDEX(Orçamentária!A:B,MATCH(Composições!A1122,Orçamentária!A:A,0),2)</f>
        <v>Acabamento para registro PQ – Linha Administrativa</v>
      </c>
      <c r="C1122" s="41"/>
      <c r="D1122" s="26" t="str">
        <f>TRIM(INDEX(Orçamentária!C:C,MATCH(Composições!A1122,Orçamentária!A:A,0),1))</f>
        <v>un</v>
      </c>
      <c r="E1122" s="27"/>
      <c r="F1122" s="42" t="s">
        <v>572</v>
      </c>
      <c r="G1122" s="28" t="str">
        <f t="shared" si="19"/>
        <v/>
      </c>
      <c r="H1122" s="29"/>
      <c r="I1122" s="30"/>
      <c r="J1122" s="156">
        <v>0</v>
      </c>
    </row>
    <row r="1123" spans="1:10" ht="15.75" hidden="1" thickBot="1" x14ac:dyDescent="0.3">
      <c r="A1123" s="222"/>
      <c r="B1123" s="225"/>
      <c r="C1123" s="32"/>
      <c r="D1123" s="32"/>
      <c r="E1123" s="33"/>
      <c r="F1123" s="43" t="s">
        <v>572</v>
      </c>
      <c r="G1123" s="31" t="str">
        <f t="shared" si="19"/>
        <v/>
      </c>
      <c r="H1123" s="35"/>
      <c r="I1123" s="31"/>
      <c r="J1123" s="156">
        <v>0</v>
      </c>
    </row>
    <row r="1124" spans="1:10" ht="26.25" hidden="1" thickBot="1" x14ac:dyDescent="0.3">
      <c r="A1124" s="222"/>
      <c r="B1124" s="225"/>
      <c r="C1124" s="36" t="s">
        <v>392</v>
      </c>
      <c r="D1124" s="47" t="s">
        <v>150</v>
      </c>
      <c r="E1124" s="37">
        <v>1</v>
      </c>
      <c r="F1124" s="34" t="s">
        <v>572</v>
      </c>
      <c r="G1124" s="34" t="str">
        <f t="shared" si="19"/>
        <v/>
      </c>
      <c r="H1124" s="39">
        <f>SUM(G1124:G1125)</f>
        <v>1.72976</v>
      </c>
      <c r="I1124" s="40"/>
      <c r="J1124" s="156">
        <v>0</v>
      </c>
    </row>
    <row r="1125" spans="1:10" ht="15.75" hidden="1" thickBot="1" x14ac:dyDescent="0.3">
      <c r="A1125" s="222"/>
      <c r="B1125" s="225"/>
      <c r="C1125" s="36" t="s">
        <v>39</v>
      </c>
      <c r="D1125" s="47" t="s">
        <v>12</v>
      </c>
      <c r="E1125" s="37">
        <v>0.08</v>
      </c>
      <c r="F1125" s="31">
        <v>21.622</v>
      </c>
      <c r="G1125" s="34">
        <f t="shared" si="19"/>
        <v>1.72976</v>
      </c>
      <c r="H1125" s="35"/>
      <c r="I1125" s="31"/>
      <c r="J1125" s="156">
        <v>0</v>
      </c>
    </row>
    <row r="1126" spans="1:10" ht="15.75" hidden="1" thickBot="1" x14ac:dyDescent="0.3">
      <c r="A1126" s="223"/>
      <c r="B1126" s="226"/>
      <c r="C1126" s="36"/>
      <c r="D1126" s="36"/>
      <c r="E1126" s="37"/>
      <c r="F1126" s="31" t="s">
        <v>572</v>
      </c>
      <c r="G1126" s="31" t="str">
        <f t="shared" si="19"/>
        <v/>
      </c>
      <c r="H1126" s="35"/>
      <c r="I1126" s="31"/>
      <c r="J1126" s="156">
        <v>0</v>
      </c>
    </row>
    <row r="1127" spans="1:10" ht="15.75" hidden="1" thickBot="1" x14ac:dyDescent="0.3">
      <c r="A1127" s="221" t="s">
        <v>393</v>
      </c>
      <c r="B1127" s="224" t="str">
        <f>INDEX(Orçamentária!A:B,MATCH(Composições!A1127,Orçamentária!A:A,0),2)</f>
        <v>Ducha higiênica – Linha Administrativa</v>
      </c>
      <c r="C1127" s="41"/>
      <c r="D1127" s="26" t="str">
        <f>TRIM(INDEX(Orçamentária!C:C,MATCH(Composições!A1127,Orçamentária!A:A,0),1))</f>
        <v>un</v>
      </c>
      <c r="E1127" s="27"/>
      <c r="F1127" s="42" t="s">
        <v>572</v>
      </c>
      <c r="G1127" s="28" t="str">
        <f t="shared" si="19"/>
        <v/>
      </c>
      <c r="H1127" s="29"/>
      <c r="I1127" s="30"/>
      <c r="J1127" s="156">
        <v>0</v>
      </c>
    </row>
    <row r="1128" spans="1:10" ht="15.75" hidden="1" thickBot="1" x14ac:dyDescent="0.3">
      <c r="A1128" s="222"/>
      <c r="B1128" s="225"/>
      <c r="C1128" s="32"/>
      <c r="D1128" s="32"/>
      <c r="E1128" s="33"/>
      <c r="F1128" s="43" t="s">
        <v>572</v>
      </c>
      <c r="G1128" s="31" t="str">
        <f t="shared" si="19"/>
        <v/>
      </c>
      <c r="H1128" s="35"/>
      <c r="I1128" s="31"/>
      <c r="J1128" s="156">
        <v>0</v>
      </c>
    </row>
    <row r="1129" spans="1:10" ht="26.25" hidden="1" thickBot="1" x14ac:dyDescent="0.3">
      <c r="A1129" s="222"/>
      <c r="B1129" s="225"/>
      <c r="C1129" s="36" t="s">
        <v>394</v>
      </c>
      <c r="D1129" s="47" t="s">
        <v>150</v>
      </c>
      <c r="E1129" s="37">
        <v>1</v>
      </c>
      <c r="F1129" s="34" t="s">
        <v>572</v>
      </c>
      <c r="G1129" s="34" t="str">
        <f t="shared" si="19"/>
        <v/>
      </c>
      <c r="H1129" s="39">
        <f>SUM(G1129:G1131)</f>
        <v>19.256500000000003</v>
      </c>
      <c r="I1129" s="40"/>
      <c r="J1129" s="156">
        <v>0</v>
      </c>
    </row>
    <row r="1130" spans="1:10" ht="15.75" hidden="1" thickBot="1" x14ac:dyDescent="0.3">
      <c r="A1130" s="222"/>
      <c r="B1130" s="225"/>
      <c r="C1130" s="36" t="s">
        <v>39</v>
      </c>
      <c r="D1130" s="47" t="s">
        <v>12</v>
      </c>
      <c r="E1130" s="37">
        <v>0.5</v>
      </c>
      <c r="F1130" s="31">
        <v>21.622</v>
      </c>
      <c r="G1130" s="34">
        <f t="shared" si="19"/>
        <v>10.811</v>
      </c>
      <c r="H1130" s="35"/>
      <c r="I1130" s="31"/>
      <c r="J1130" s="156">
        <v>0</v>
      </c>
    </row>
    <row r="1131" spans="1:10" ht="26.25" hidden="1" thickBot="1" x14ac:dyDescent="0.3">
      <c r="A1131" s="222"/>
      <c r="B1131" s="225"/>
      <c r="C1131" s="36" t="s">
        <v>110</v>
      </c>
      <c r="D1131" s="47" t="s">
        <v>12</v>
      </c>
      <c r="E1131" s="37">
        <v>0.5</v>
      </c>
      <c r="F1131" s="31">
        <v>16.891000000000002</v>
      </c>
      <c r="G1131" s="34">
        <f t="shared" si="19"/>
        <v>8.4455000000000009</v>
      </c>
      <c r="H1131" s="35"/>
      <c r="I1131" s="31"/>
      <c r="J1131" s="156">
        <v>0</v>
      </c>
    </row>
    <row r="1132" spans="1:10" ht="15.75" hidden="1" thickBot="1" x14ac:dyDescent="0.3">
      <c r="A1132" s="223"/>
      <c r="B1132" s="226"/>
      <c r="C1132" s="36"/>
      <c r="D1132" s="36"/>
      <c r="E1132" s="37"/>
      <c r="F1132" s="31" t="s">
        <v>572</v>
      </c>
      <c r="G1132" s="31" t="str">
        <f t="shared" si="19"/>
        <v/>
      </c>
      <c r="H1132" s="35"/>
      <c r="I1132" s="31"/>
      <c r="J1132" s="156">
        <v>0</v>
      </c>
    </row>
    <row r="1133" spans="1:10" ht="15.75" hidden="1" thickBot="1" x14ac:dyDescent="0.3">
      <c r="A1133" s="221" t="s">
        <v>395</v>
      </c>
      <c r="B1133" s="224" t="str">
        <f>INDEX(Orçamentária!A:B,MATCH(Composições!A1133,Orçamentária!A:A,0),2)</f>
        <v>Instalação de metais e acessórios reaproveitados</v>
      </c>
      <c r="C1133" s="41"/>
      <c r="D1133" s="26" t="str">
        <f>TRIM(INDEX(Orçamentária!C:C,MATCH(Composições!A1133,Orçamentária!A:A,0),1))</f>
        <v>un</v>
      </c>
      <c r="E1133" s="27"/>
      <c r="F1133" s="42" t="s">
        <v>572</v>
      </c>
      <c r="G1133" s="28" t="str">
        <f t="shared" si="19"/>
        <v/>
      </c>
      <c r="H1133" s="29"/>
      <c r="I1133" s="30"/>
      <c r="J1133" s="156">
        <v>0</v>
      </c>
    </row>
    <row r="1134" spans="1:10" ht="15.75" hidden="1" thickBot="1" x14ac:dyDescent="0.3">
      <c r="A1134" s="222"/>
      <c r="B1134" s="225"/>
      <c r="C1134" s="32"/>
      <c r="D1134" s="32"/>
      <c r="E1134" s="33"/>
      <c r="F1134" s="43" t="s">
        <v>572</v>
      </c>
      <c r="G1134" s="31" t="str">
        <f t="shared" si="19"/>
        <v/>
      </c>
      <c r="H1134" s="35"/>
      <c r="I1134" s="31"/>
      <c r="J1134" s="156">
        <v>0</v>
      </c>
    </row>
    <row r="1135" spans="1:10" ht="15.75" hidden="1" thickBot="1" x14ac:dyDescent="0.3">
      <c r="A1135" s="222"/>
      <c r="B1135" s="225"/>
      <c r="C1135" s="36" t="s">
        <v>39</v>
      </c>
      <c r="D1135" s="47" t="s">
        <v>12</v>
      </c>
      <c r="E1135" s="37">
        <v>0.16209999999999999</v>
      </c>
      <c r="F1135" s="31">
        <v>21.622</v>
      </c>
      <c r="G1135" s="34">
        <f t="shared" si="19"/>
        <v>3.5049261999999999</v>
      </c>
      <c r="H1135" s="39">
        <f>SUM(G1135:G1136)</f>
        <v>3.8883519</v>
      </c>
      <c r="I1135" s="40"/>
      <c r="J1135" s="156">
        <v>0</v>
      </c>
    </row>
    <row r="1136" spans="1:10" ht="26.25" hidden="1" thickBot="1" x14ac:dyDescent="0.3">
      <c r="A1136" s="222"/>
      <c r="B1136" s="225"/>
      <c r="C1136" s="36" t="s">
        <v>110</v>
      </c>
      <c r="D1136" s="47" t="s">
        <v>12</v>
      </c>
      <c r="E1136" s="37">
        <v>2.2700000000000001E-2</v>
      </c>
      <c r="F1136" s="31">
        <v>16.891000000000002</v>
      </c>
      <c r="G1136" s="34">
        <f t="shared" si="19"/>
        <v>0.38342570000000009</v>
      </c>
      <c r="H1136" s="45"/>
      <c r="I1136" s="46"/>
      <c r="J1136" s="156">
        <v>0</v>
      </c>
    </row>
    <row r="1137" spans="1:10" ht="15.75" hidden="1" thickBot="1" x14ac:dyDescent="0.3">
      <c r="A1137" s="223"/>
      <c r="B1137" s="226"/>
      <c r="C1137" s="36"/>
      <c r="D1137" s="36"/>
      <c r="E1137" s="37"/>
      <c r="F1137" s="31" t="s">
        <v>572</v>
      </c>
      <c r="G1137" s="31" t="str">
        <f t="shared" si="19"/>
        <v/>
      </c>
      <c r="H1137" s="35"/>
      <c r="I1137" s="31"/>
      <c r="J1137" s="156">
        <v>0</v>
      </c>
    </row>
    <row r="1138" spans="1:10" ht="15.75" hidden="1" thickBot="1" x14ac:dyDescent="0.3">
      <c r="A1138" s="221" t="s">
        <v>396</v>
      </c>
      <c r="B1138" s="224" t="str">
        <f>INDEX(Orçamentária!A:B,MATCH(Composições!A1138,Orçamentária!A:A,0),2)</f>
        <v>Ligação flexível 1/2” x 40 cm – Linha Administrativa</v>
      </c>
      <c r="C1138" s="41"/>
      <c r="D1138" s="26" t="str">
        <f>TRIM(INDEX(Orçamentária!C:C,MATCH(Composições!A1138,Orçamentária!A:A,0),1))</f>
        <v>un</v>
      </c>
      <c r="E1138" s="27"/>
      <c r="F1138" s="42" t="s">
        <v>572</v>
      </c>
      <c r="G1138" s="28" t="str">
        <f t="shared" si="19"/>
        <v/>
      </c>
      <c r="H1138" s="29"/>
      <c r="I1138" s="30"/>
      <c r="J1138" s="156">
        <v>0</v>
      </c>
    </row>
    <row r="1139" spans="1:10" ht="15.75" hidden="1" thickBot="1" x14ac:dyDescent="0.3">
      <c r="A1139" s="222"/>
      <c r="B1139" s="225"/>
      <c r="C1139" s="32"/>
      <c r="D1139" s="32"/>
      <c r="E1139" s="33"/>
      <c r="F1139" s="43" t="s">
        <v>572</v>
      </c>
      <c r="G1139" s="31" t="str">
        <f t="shared" si="19"/>
        <v/>
      </c>
      <c r="H1139" s="35"/>
      <c r="I1139" s="31"/>
      <c r="J1139" s="156">
        <v>0</v>
      </c>
    </row>
    <row r="1140" spans="1:10" ht="15.75" hidden="1" thickBot="1" x14ac:dyDescent="0.3">
      <c r="A1140" s="222"/>
      <c r="B1140" s="225"/>
      <c r="C1140" s="36" t="s">
        <v>397</v>
      </c>
      <c r="D1140" s="47" t="s">
        <v>299</v>
      </c>
      <c r="E1140" s="37">
        <v>1</v>
      </c>
      <c r="F1140" s="34">
        <v>42.312999999999995</v>
      </c>
      <c r="G1140" s="34">
        <f t="shared" si="19"/>
        <v>42.312999999999995</v>
      </c>
      <c r="H1140" s="39">
        <f>SUM(G1140:G1143)</f>
        <v>46.436712499999999</v>
      </c>
      <c r="I1140" s="40"/>
      <c r="J1140" s="156">
        <v>0</v>
      </c>
    </row>
    <row r="1141" spans="1:10" ht="15.75" hidden="1" thickBot="1" x14ac:dyDescent="0.3">
      <c r="A1141" s="222"/>
      <c r="B1141" s="225"/>
      <c r="C1141" s="36" t="s">
        <v>380</v>
      </c>
      <c r="D1141" s="47" t="s">
        <v>299</v>
      </c>
      <c r="E1141" s="37">
        <v>1.7500000000000002E-2</v>
      </c>
      <c r="F1141" s="34">
        <v>3.7049999999999996</v>
      </c>
      <c r="G1141" s="34">
        <f t="shared" si="19"/>
        <v>6.4837500000000006E-2</v>
      </c>
      <c r="H1141" s="35"/>
      <c r="I1141" s="31"/>
      <c r="J1141" s="156">
        <v>0</v>
      </c>
    </row>
    <row r="1142" spans="1:10" ht="15.75" hidden="1" thickBot="1" x14ac:dyDescent="0.3">
      <c r="A1142" s="222"/>
      <c r="B1142" s="225"/>
      <c r="C1142" s="36" t="s">
        <v>39</v>
      </c>
      <c r="D1142" s="47" t="s">
        <v>12</v>
      </c>
      <c r="E1142" s="37">
        <v>0.15</v>
      </c>
      <c r="F1142" s="31">
        <v>21.622</v>
      </c>
      <c r="G1142" s="34">
        <f t="shared" si="19"/>
        <v>3.2433000000000001</v>
      </c>
      <c r="H1142" s="35"/>
      <c r="I1142" s="31"/>
      <c r="J1142" s="156">
        <v>0</v>
      </c>
    </row>
    <row r="1143" spans="1:10" ht="15.75" hidden="1" thickBot="1" x14ac:dyDescent="0.3">
      <c r="A1143" s="222"/>
      <c r="B1143" s="225"/>
      <c r="C1143" s="36" t="s">
        <v>23</v>
      </c>
      <c r="D1143" s="47" t="s">
        <v>12</v>
      </c>
      <c r="E1143" s="37">
        <v>0.05</v>
      </c>
      <c r="F1143" s="31">
        <v>16.311500000000002</v>
      </c>
      <c r="G1143" s="34">
        <f t="shared" si="19"/>
        <v>0.81557500000000016</v>
      </c>
      <c r="H1143" s="35"/>
      <c r="I1143" s="31"/>
      <c r="J1143" s="156">
        <v>0</v>
      </c>
    </row>
    <row r="1144" spans="1:10" ht="15.75" hidden="1" thickBot="1" x14ac:dyDescent="0.3">
      <c r="A1144" s="223"/>
      <c r="B1144" s="226"/>
      <c r="C1144" s="36"/>
      <c r="D1144" s="36"/>
      <c r="E1144" s="37"/>
      <c r="F1144" s="31" t="s">
        <v>572</v>
      </c>
      <c r="G1144" s="31" t="str">
        <f t="shared" si="19"/>
        <v/>
      </c>
      <c r="H1144" s="35"/>
      <c r="I1144" s="31"/>
      <c r="J1144" s="156">
        <v>0</v>
      </c>
    </row>
    <row r="1145" spans="1:10" ht="15.75" hidden="1" thickBot="1" x14ac:dyDescent="0.3">
      <c r="A1145" s="221" t="s">
        <v>398</v>
      </c>
      <c r="B1145" s="224" t="str">
        <f>INDEX(Orçamentária!A:B,MATCH(Composições!A1145,Orçamentária!A:A,0),2)</f>
        <v>Sifão articulado para cozinha – Linha Administrativa</v>
      </c>
      <c r="C1145" s="41"/>
      <c r="D1145" s="26" t="str">
        <f>TRIM(INDEX(Orçamentária!C:C,MATCH(Composições!A1145,Orçamentária!A:A,0),1))</f>
        <v>un</v>
      </c>
      <c r="E1145" s="27"/>
      <c r="F1145" s="42" t="s">
        <v>572</v>
      </c>
      <c r="G1145" s="28" t="str">
        <f t="shared" si="19"/>
        <v/>
      </c>
      <c r="H1145" s="29"/>
      <c r="I1145" s="30"/>
      <c r="J1145" s="156">
        <v>0</v>
      </c>
    </row>
    <row r="1146" spans="1:10" ht="15.75" hidden="1" thickBot="1" x14ac:dyDescent="0.3">
      <c r="A1146" s="222"/>
      <c r="B1146" s="225"/>
      <c r="C1146" s="32"/>
      <c r="D1146" s="32"/>
      <c r="E1146" s="33"/>
      <c r="F1146" s="43" t="s">
        <v>572</v>
      </c>
      <c r="G1146" s="31" t="str">
        <f t="shared" si="19"/>
        <v/>
      </c>
      <c r="H1146" s="35"/>
      <c r="I1146" s="31"/>
      <c r="J1146" s="156">
        <v>0</v>
      </c>
    </row>
    <row r="1147" spans="1:10" ht="26.25" hidden="1" thickBot="1" x14ac:dyDescent="0.3">
      <c r="A1147" s="222"/>
      <c r="B1147" s="225"/>
      <c r="C1147" s="36" t="s">
        <v>399</v>
      </c>
      <c r="D1147" s="47" t="s">
        <v>150</v>
      </c>
      <c r="E1147" s="37">
        <v>1</v>
      </c>
      <c r="F1147" s="34" t="s">
        <v>572</v>
      </c>
      <c r="G1147" s="34" t="str">
        <f t="shared" si="19"/>
        <v/>
      </c>
      <c r="H1147" s="39">
        <f>SUM(G1147:G1150)</f>
        <v>7.4405120999999994</v>
      </c>
      <c r="I1147" s="40"/>
      <c r="J1147" s="156">
        <v>0</v>
      </c>
    </row>
    <row r="1148" spans="1:10" ht="15.75" hidden="1" thickBot="1" x14ac:dyDescent="0.3">
      <c r="A1148" s="222"/>
      <c r="B1148" s="225"/>
      <c r="C1148" s="36" t="s">
        <v>380</v>
      </c>
      <c r="D1148" s="47" t="s">
        <v>299</v>
      </c>
      <c r="E1148" s="37">
        <v>3.32E-2</v>
      </c>
      <c r="F1148" s="34">
        <v>3.7049999999999996</v>
      </c>
      <c r="G1148" s="34">
        <f t="shared" si="19"/>
        <v>0.12300599999999999</v>
      </c>
      <c r="H1148" s="35"/>
      <c r="I1148" s="31"/>
      <c r="J1148" s="156">
        <v>0</v>
      </c>
    </row>
    <row r="1149" spans="1:10" ht="15.75" hidden="1" thickBot="1" x14ac:dyDescent="0.3">
      <c r="A1149" s="222"/>
      <c r="B1149" s="225"/>
      <c r="C1149" s="36" t="s">
        <v>23</v>
      </c>
      <c r="D1149" s="47" t="s">
        <v>12</v>
      </c>
      <c r="E1149" s="37">
        <v>8.6199999999999999E-2</v>
      </c>
      <c r="F1149" s="31">
        <v>16.311500000000002</v>
      </c>
      <c r="G1149" s="34">
        <f t="shared" si="19"/>
        <v>1.4060513000000001</v>
      </c>
      <c r="H1149" s="35"/>
      <c r="I1149" s="31"/>
      <c r="J1149" s="156">
        <v>0</v>
      </c>
    </row>
    <row r="1150" spans="1:10" ht="15.75" hidden="1" thickBot="1" x14ac:dyDescent="0.3">
      <c r="A1150" s="222"/>
      <c r="B1150" s="225"/>
      <c r="C1150" s="36" t="s">
        <v>39</v>
      </c>
      <c r="D1150" s="47" t="s">
        <v>12</v>
      </c>
      <c r="E1150" s="37">
        <v>0.27339999999999998</v>
      </c>
      <c r="F1150" s="31">
        <v>21.622</v>
      </c>
      <c r="G1150" s="34">
        <f t="shared" si="19"/>
        <v>5.9114547999999996</v>
      </c>
      <c r="H1150" s="35"/>
      <c r="I1150" s="31"/>
      <c r="J1150" s="156">
        <v>0</v>
      </c>
    </row>
    <row r="1151" spans="1:10" ht="15.75" hidden="1" thickBot="1" x14ac:dyDescent="0.3">
      <c r="A1151" s="223"/>
      <c r="B1151" s="226"/>
      <c r="C1151" s="36"/>
      <c r="D1151" s="36"/>
      <c r="E1151" s="37"/>
      <c r="F1151" s="31" t="s">
        <v>572</v>
      </c>
      <c r="G1151" s="31" t="str">
        <f t="shared" si="19"/>
        <v/>
      </c>
      <c r="H1151" s="35"/>
      <c r="I1151" s="31"/>
      <c r="J1151" s="156">
        <v>0</v>
      </c>
    </row>
    <row r="1152" spans="1:10" ht="15.75" hidden="1" thickBot="1" x14ac:dyDescent="0.3">
      <c r="A1152" s="221" t="s">
        <v>400</v>
      </c>
      <c r="B1152" s="224" t="str">
        <f>INDEX(Orçamentária!A:B,MATCH(Composições!A1152,Orçamentária!A:A,0),2)</f>
        <v>Sifão para lavatório 1 1/2"</v>
      </c>
      <c r="C1152" s="41"/>
      <c r="D1152" s="26" t="str">
        <f>TRIM(INDEX(Orçamentária!C:C,MATCH(Composições!A1152,Orçamentária!A:A,0),1))</f>
        <v>un</v>
      </c>
      <c r="E1152" s="27"/>
      <c r="F1152" s="42" t="s">
        <v>572</v>
      </c>
      <c r="G1152" s="28" t="str">
        <f t="shared" si="19"/>
        <v/>
      </c>
      <c r="H1152" s="29"/>
      <c r="I1152" s="30"/>
      <c r="J1152" s="156">
        <v>0</v>
      </c>
    </row>
    <row r="1153" spans="1:10" ht="15.75" hidden="1" thickBot="1" x14ac:dyDescent="0.3">
      <c r="A1153" s="222"/>
      <c r="B1153" s="225"/>
      <c r="C1153" s="32"/>
      <c r="D1153" s="32"/>
      <c r="E1153" s="33"/>
      <c r="F1153" s="43" t="s">
        <v>572</v>
      </c>
      <c r="G1153" s="31" t="str">
        <f t="shared" si="19"/>
        <v/>
      </c>
      <c r="H1153" s="35"/>
      <c r="I1153" s="31"/>
      <c r="J1153" s="156">
        <v>0</v>
      </c>
    </row>
    <row r="1154" spans="1:10" ht="15.75" hidden="1" thickBot="1" x14ac:dyDescent="0.3">
      <c r="A1154" s="222"/>
      <c r="B1154" s="225"/>
      <c r="C1154" s="36" t="s">
        <v>401</v>
      </c>
      <c r="D1154" s="47" t="s">
        <v>299</v>
      </c>
      <c r="E1154" s="37">
        <v>1</v>
      </c>
      <c r="F1154" s="34">
        <v>168.57749999999999</v>
      </c>
      <c r="G1154" s="34">
        <f t="shared" si="19"/>
        <v>168.57749999999999</v>
      </c>
      <c r="H1154" s="39">
        <f>SUM(G1154:G1157)</f>
        <v>176.06872499999997</v>
      </c>
      <c r="I1154" s="40"/>
      <c r="J1154" s="156">
        <v>0</v>
      </c>
    </row>
    <row r="1155" spans="1:10" ht="15.75" hidden="1" thickBot="1" x14ac:dyDescent="0.3">
      <c r="A1155" s="222"/>
      <c r="B1155" s="225"/>
      <c r="C1155" s="36" t="s">
        <v>380</v>
      </c>
      <c r="D1155" s="47" t="s">
        <v>299</v>
      </c>
      <c r="E1155" s="37">
        <v>0.05</v>
      </c>
      <c r="F1155" s="34">
        <v>3.7049999999999996</v>
      </c>
      <c r="G1155" s="34">
        <f t="shared" si="19"/>
        <v>0.18525</v>
      </c>
      <c r="H1155" s="35"/>
      <c r="I1155" s="31"/>
      <c r="J1155" s="156">
        <v>0</v>
      </c>
    </row>
    <row r="1156" spans="1:10" ht="15.75" hidden="1" thickBot="1" x14ac:dyDescent="0.3">
      <c r="A1156" s="222"/>
      <c r="B1156" s="225"/>
      <c r="C1156" s="36" t="s">
        <v>39</v>
      </c>
      <c r="D1156" s="47" t="s">
        <v>12</v>
      </c>
      <c r="E1156" s="37">
        <v>0.27</v>
      </c>
      <c r="F1156" s="31">
        <v>21.622</v>
      </c>
      <c r="G1156" s="34">
        <f t="shared" si="19"/>
        <v>5.8379400000000006</v>
      </c>
      <c r="H1156" s="35"/>
      <c r="I1156" s="31"/>
      <c r="J1156" s="156">
        <v>0</v>
      </c>
    </row>
    <row r="1157" spans="1:10" ht="15.75" hidden="1" thickBot="1" x14ac:dyDescent="0.3">
      <c r="A1157" s="222"/>
      <c r="B1157" s="225"/>
      <c r="C1157" s="36" t="s">
        <v>23</v>
      </c>
      <c r="D1157" s="47" t="s">
        <v>12</v>
      </c>
      <c r="E1157" s="37">
        <v>0.09</v>
      </c>
      <c r="F1157" s="31">
        <v>16.311500000000002</v>
      </c>
      <c r="G1157" s="34">
        <f t="shared" si="19"/>
        <v>1.4680350000000002</v>
      </c>
      <c r="H1157" s="35"/>
      <c r="I1157" s="31"/>
      <c r="J1157" s="156">
        <v>0</v>
      </c>
    </row>
    <row r="1158" spans="1:10" ht="15.75" hidden="1" thickBot="1" x14ac:dyDescent="0.3">
      <c r="A1158" s="223"/>
      <c r="B1158" s="226"/>
      <c r="C1158" s="36"/>
      <c r="D1158" s="36"/>
      <c r="E1158" s="37"/>
      <c r="F1158" s="31" t="s">
        <v>572</v>
      </c>
      <c r="G1158" s="31" t="str">
        <f t="shared" si="19"/>
        <v/>
      </c>
      <c r="H1158" s="35"/>
      <c r="I1158" s="31"/>
      <c r="J1158" s="156">
        <v>0</v>
      </c>
    </row>
    <row r="1159" spans="1:10" ht="15.75" hidden="1" thickBot="1" x14ac:dyDescent="0.3">
      <c r="A1159" s="221" t="s">
        <v>402</v>
      </c>
      <c r="B1159" s="224" t="str">
        <f>INDEX(Orçamentária!A:B,MATCH(Composições!A1159,Orçamentária!A:A,0),2)</f>
        <v>Sifão para tanque – Linha Administrativa</v>
      </c>
      <c r="C1159" s="41"/>
      <c r="D1159" s="26" t="str">
        <f>TRIM(INDEX(Orçamentária!C:C,MATCH(Composições!A1159,Orçamentária!A:A,0),1))</f>
        <v>un</v>
      </c>
      <c r="E1159" s="27"/>
      <c r="F1159" s="42" t="s">
        <v>572</v>
      </c>
      <c r="G1159" s="28" t="str">
        <f t="shared" si="19"/>
        <v/>
      </c>
      <c r="H1159" s="29"/>
      <c r="I1159" s="30"/>
      <c r="J1159" s="156">
        <v>0</v>
      </c>
    </row>
    <row r="1160" spans="1:10" ht="15.75" hidden="1" thickBot="1" x14ac:dyDescent="0.3">
      <c r="A1160" s="222"/>
      <c r="B1160" s="225"/>
      <c r="C1160" s="32"/>
      <c r="D1160" s="32"/>
      <c r="E1160" s="33"/>
      <c r="F1160" s="43" t="s">
        <v>572</v>
      </c>
      <c r="G1160" s="31" t="str">
        <f t="shared" si="19"/>
        <v/>
      </c>
      <c r="H1160" s="35"/>
      <c r="I1160" s="31"/>
      <c r="J1160" s="156">
        <v>0</v>
      </c>
    </row>
    <row r="1161" spans="1:10" ht="15.75" hidden="1" thickBot="1" x14ac:dyDescent="0.3">
      <c r="A1161" s="222"/>
      <c r="B1161" s="225"/>
      <c r="C1161" s="36" t="s">
        <v>380</v>
      </c>
      <c r="D1161" s="47" t="s">
        <v>299</v>
      </c>
      <c r="E1161" s="37">
        <v>3.32E-2</v>
      </c>
      <c r="F1161" s="34">
        <v>3.7049999999999996</v>
      </c>
      <c r="G1161" s="34">
        <f t="shared" si="19"/>
        <v>0.12300599999999999</v>
      </c>
      <c r="H1161" s="39">
        <f>SUM(G1161:G1164)</f>
        <v>185.97401210000001</v>
      </c>
      <c r="I1161" s="40"/>
      <c r="J1161" s="156">
        <v>0</v>
      </c>
    </row>
    <row r="1162" spans="1:10" ht="15.75" hidden="1" thickBot="1" x14ac:dyDescent="0.3">
      <c r="A1162" s="222"/>
      <c r="B1162" s="225"/>
      <c r="C1162" s="36" t="s">
        <v>23</v>
      </c>
      <c r="D1162" s="47" t="s">
        <v>12</v>
      </c>
      <c r="E1162" s="37">
        <v>8.6199999999999999E-2</v>
      </c>
      <c r="F1162" s="31">
        <v>16.311500000000002</v>
      </c>
      <c r="G1162" s="34">
        <f t="shared" si="19"/>
        <v>1.4060513000000001</v>
      </c>
      <c r="H1162" s="45"/>
      <c r="I1162" s="46"/>
      <c r="J1162" s="156">
        <v>0</v>
      </c>
    </row>
    <row r="1163" spans="1:10" ht="15.75" hidden="1" thickBot="1" x14ac:dyDescent="0.3">
      <c r="A1163" s="222"/>
      <c r="B1163" s="225"/>
      <c r="C1163" s="36" t="s">
        <v>39</v>
      </c>
      <c r="D1163" s="47" t="s">
        <v>12</v>
      </c>
      <c r="E1163" s="37">
        <v>0.27339999999999998</v>
      </c>
      <c r="F1163" s="31">
        <v>21.622</v>
      </c>
      <c r="G1163" s="34">
        <f t="shared" si="19"/>
        <v>5.9114547999999996</v>
      </c>
      <c r="H1163" s="35"/>
      <c r="I1163" s="31"/>
      <c r="J1163" s="156">
        <v>0</v>
      </c>
    </row>
    <row r="1164" spans="1:10" ht="15.75" hidden="1" thickBot="1" x14ac:dyDescent="0.3">
      <c r="A1164" s="222"/>
      <c r="B1164" s="225"/>
      <c r="C1164" s="36" t="s">
        <v>403</v>
      </c>
      <c r="D1164" s="36" t="s">
        <v>20</v>
      </c>
      <c r="E1164" s="37">
        <v>1</v>
      </c>
      <c r="F1164" s="34">
        <v>178.5335</v>
      </c>
      <c r="G1164" s="31">
        <f t="shared" si="19"/>
        <v>178.5335</v>
      </c>
      <c r="H1164" s="35"/>
      <c r="I1164" s="31"/>
      <c r="J1164" s="156">
        <v>0</v>
      </c>
    </row>
    <row r="1165" spans="1:10" ht="15.75" hidden="1" thickBot="1" x14ac:dyDescent="0.3">
      <c r="A1165" s="223"/>
      <c r="B1165" s="226"/>
      <c r="C1165" s="36"/>
      <c r="D1165" s="36"/>
      <c r="E1165" s="37"/>
      <c r="F1165" s="31" t="s">
        <v>572</v>
      </c>
      <c r="G1165" s="31" t="str">
        <f t="shared" si="19"/>
        <v/>
      </c>
      <c r="H1165" s="35"/>
      <c r="I1165" s="31"/>
      <c r="J1165" s="156">
        <v>0</v>
      </c>
    </row>
    <row r="1166" spans="1:10" ht="15.75" hidden="1" thickBot="1" x14ac:dyDescent="0.3">
      <c r="A1166" s="221" t="s">
        <v>404</v>
      </c>
      <c r="B1166" s="224" t="str">
        <f>INDEX(Orçamentária!A:B,MATCH(Composições!A1166,Orçamentária!A:A,0),2)</f>
        <v>Torneira de mesa para cozinha bica móvel – Linha Administrativa</v>
      </c>
      <c r="C1166" s="41"/>
      <c r="D1166" s="26" t="str">
        <f>TRIM(INDEX(Orçamentária!C:C,MATCH(Composições!A1166,Orçamentária!A:A,0),1))</f>
        <v>un</v>
      </c>
      <c r="E1166" s="27"/>
      <c r="F1166" s="42" t="s">
        <v>572</v>
      </c>
      <c r="G1166" s="28" t="str">
        <f t="shared" si="19"/>
        <v/>
      </c>
      <c r="H1166" s="29"/>
      <c r="I1166" s="30"/>
      <c r="J1166" s="156">
        <v>0</v>
      </c>
    </row>
    <row r="1167" spans="1:10" ht="15.75" hidden="1" thickBot="1" x14ac:dyDescent="0.3">
      <c r="A1167" s="222"/>
      <c r="B1167" s="225"/>
      <c r="C1167" s="32"/>
      <c r="D1167" s="32"/>
      <c r="E1167" s="33"/>
      <c r="F1167" s="43" t="s">
        <v>572</v>
      </c>
      <c r="G1167" s="31" t="str">
        <f t="shared" si="19"/>
        <v/>
      </c>
      <c r="H1167" s="35"/>
      <c r="I1167" s="31"/>
      <c r="J1167" s="156">
        <v>0</v>
      </c>
    </row>
    <row r="1168" spans="1:10" ht="15.75" hidden="1" thickBot="1" x14ac:dyDescent="0.3">
      <c r="A1168" s="222"/>
      <c r="B1168" s="225"/>
      <c r="C1168" s="36" t="s">
        <v>405</v>
      </c>
      <c r="D1168" s="47" t="s">
        <v>150</v>
      </c>
      <c r="E1168" s="37">
        <v>1</v>
      </c>
      <c r="F1168" s="34" t="s">
        <v>572</v>
      </c>
      <c r="G1168" s="34" t="str">
        <f t="shared" si="19"/>
        <v/>
      </c>
      <c r="H1168" s="39">
        <f>SUM(G1168:G1171)</f>
        <v>4.5385461500000002</v>
      </c>
      <c r="I1168" s="40"/>
      <c r="J1168" s="156">
        <v>0</v>
      </c>
    </row>
    <row r="1169" spans="1:10" ht="15.75" hidden="1" thickBot="1" x14ac:dyDescent="0.3">
      <c r="A1169" s="222"/>
      <c r="B1169" s="225"/>
      <c r="C1169" s="36" t="s">
        <v>380</v>
      </c>
      <c r="D1169" s="47" t="s">
        <v>299</v>
      </c>
      <c r="E1169" s="37">
        <v>2.1000000000000001E-2</v>
      </c>
      <c r="F1169" s="34">
        <v>3.7049999999999996</v>
      </c>
      <c r="G1169" s="34">
        <f t="shared" si="19"/>
        <v>7.7804999999999999E-2</v>
      </c>
      <c r="H1169" s="35"/>
      <c r="I1169" s="31"/>
      <c r="J1169" s="156">
        <v>0</v>
      </c>
    </row>
    <row r="1170" spans="1:10" ht="15.75" hidden="1" thickBot="1" x14ac:dyDescent="0.3">
      <c r="A1170" s="222"/>
      <c r="B1170" s="225"/>
      <c r="C1170" s="36" t="s">
        <v>39</v>
      </c>
      <c r="D1170" s="47" t="s">
        <v>12</v>
      </c>
      <c r="E1170" s="37">
        <v>0.16669999999999999</v>
      </c>
      <c r="F1170" s="31">
        <v>21.622</v>
      </c>
      <c r="G1170" s="34">
        <f t="shared" si="19"/>
        <v>3.6043873999999998</v>
      </c>
      <c r="H1170" s="35"/>
      <c r="I1170" s="31"/>
      <c r="J1170" s="156">
        <v>0</v>
      </c>
    </row>
    <row r="1171" spans="1:10" ht="15.75" hidden="1" thickBot="1" x14ac:dyDescent="0.3">
      <c r="A1171" s="222"/>
      <c r="B1171" s="225"/>
      <c r="C1171" s="36" t="s">
        <v>23</v>
      </c>
      <c r="D1171" s="47" t="s">
        <v>12</v>
      </c>
      <c r="E1171" s="37">
        <v>5.2499999999999998E-2</v>
      </c>
      <c r="F1171" s="31">
        <v>16.311500000000002</v>
      </c>
      <c r="G1171" s="34">
        <f t="shared" si="19"/>
        <v>0.85635375000000014</v>
      </c>
      <c r="H1171" s="35"/>
      <c r="I1171" s="31"/>
      <c r="J1171" s="156">
        <v>0</v>
      </c>
    </row>
    <row r="1172" spans="1:10" ht="15.75" hidden="1" thickBot="1" x14ac:dyDescent="0.3">
      <c r="A1172" s="223"/>
      <c r="B1172" s="226"/>
      <c r="C1172" s="36"/>
      <c r="D1172" s="36"/>
      <c r="E1172" s="37"/>
      <c r="F1172" s="31" t="s">
        <v>572</v>
      </c>
      <c r="G1172" s="31" t="str">
        <f t="shared" si="19"/>
        <v/>
      </c>
      <c r="H1172" s="35"/>
      <c r="I1172" s="31"/>
      <c r="J1172" s="156">
        <v>0</v>
      </c>
    </row>
    <row r="1173" spans="1:10" ht="15.75" hidden="1" thickBot="1" x14ac:dyDescent="0.3">
      <c r="A1173" s="221" t="s">
        <v>406</v>
      </c>
      <c r="B1173" s="224" t="str">
        <f>INDEX(Orçamentária!A:B,MATCH(Composições!A1173,Orçamentária!A:A,0),2)</f>
        <v>Torneira de mesa para cozinha bica móvel com arejador – Linha Administrativa</v>
      </c>
      <c r="C1173" s="41"/>
      <c r="D1173" s="26" t="str">
        <f>TRIM(INDEX(Orçamentária!C:C,MATCH(Composições!A1173,Orçamentária!A:A,0),1))</f>
        <v>un</v>
      </c>
      <c r="E1173" s="27"/>
      <c r="F1173" s="42" t="s">
        <v>572</v>
      </c>
      <c r="G1173" s="28" t="str">
        <f t="shared" ref="G1173:G1236" si="20">IF(ISNUMBER(F1173),E1173*F1173,"")</f>
        <v/>
      </c>
      <c r="H1173" s="29"/>
      <c r="I1173" s="30"/>
      <c r="J1173" s="156">
        <v>0</v>
      </c>
    </row>
    <row r="1174" spans="1:10" ht="15.75" hidden="1" thickBot="1" x14ac:dyDescent="0.3">
      <c r="A1174" s="222"/>
      <c r="B1174" s="225"/>
      <c r="C1174" s="32"/>
      <c r="D1174" s="32"/>
      <c r="E1174" s="33"/>
      <c r="F1174" s="43" t="s">
        <v>572</v>
      </c>
      <c r="G1174" s="31" t="str">
        <f t="shared" si="20"/>
        <v/>
      </c>
      <c r="H1174" s="35"/>
      <c r="I1174" s="31"/>
      <c r="J1174" s="156">
        <v>0</v>
      </c>
    </row>
    <row r="1175" spans="1:10" ht="26.25" hidden="1" thickBot="1" x14ac:dyDescent="0.3">
      <c r="A1175" s="222"/>
      <c r="B1175" s="225"/>
      <c r="C1175" s="36" t="s">
        <v>407</v>
      </c>
      <c r="D1175" s="47" t="s">
        <v>150</v>
      </c>
      <c r="E1175" s="37">
        <v>1</v>
      </c>
      <c r="F1175" s="34" t="s">
        <v>572</v>
      </c>
      <c r="G1175" s="34" t="str">
        <f t="shared" si="20"/>
        <v/>
      </c>
      <c r="H1175" s="39">
        <f>SUM(G1175:G1178)</f>
        <v>4.5385461500000002</v>
      </c>
      <c r="I1175" s="40"/>
      <c r="J1175" s="156">
        <v>0</v>
      </c>
    </row>
    <row r="1176" spans="1:10" ht="15.75" hidden="1" thickBot="1" x14ac:dyDescent="0.3">
      <c r="A1176" s="222"/>
      <c r="B1176" s="225"/>
      <c r="C1176" s="36" t="s">
        <v>380</v>
      </c>
      <c r="D1176" s="47" t="s">
        <v>299</v>
      </c>
      <c r="E1176" s="37">
        <v>2.1000000000000001E-2</v>
      </c>
      <c r="F1176" s="34">
        <v>3.7049999999999996</v>
      </c>
      <c r="G1176" s="34">
        <f t="shared" si="20"/>
        <v>7.7804999999999999E-2</v>
      </c>
      <c r="H1176" s="35"/>
      <c r="I1176" s="31"/>
      <c r="J1176" s="156">
        <v>0</v>
      </c>
    </row>
    <row r="1177" spans="1:10" ht="15.75" hidden="1" thickBot="1" x14ac:dyDescent="0.3">
      <c r="A1177" s="222"/>
      <c r="B1177" s="225"/>
      <c r="C1177" s="36" t="s">
        <v>39</v>
      </c>
      <c r="D1177" s="47" t="s">
        <v>12</v>
      </c>
      <c r="E1177" s="37">
        <v>0.16669999999999999</v>
      </c>
      <c r="F1177" s="31">
        <v>21.622</v>
      </c>
      <c r="G1177" s="34">
        <f t="shared" si="20"/>
        <v>3.6043873999999998</v>
      </c>
      <c r="H1177" s="35"/>
      <c r="I1177" s="31"/>
      <c r="J1177" s="156">
        <v>0</v>
      </c>
    </row>
    <row r="1178" spans="1:10" ht="15.75" hidden="1" thickBot="1" x14ac:dyDescent="0.3">
      <c r="A1178" s="222"/>
      <c r="B1178" s="225"/>
      <c r="C1178" s="36" t="s">
        <v>23</v>
      </c>
      <c r="D1178" s="47" t="s">
        <v>12</v>
      </c>
      <c r="E1178" s="37">
        <v>5.2499999999999998E-2</v>
      </c>
      <c r="F1178" s="31">
        <v>16.311500000000002</v>
      </c>
      <c r="G1178" s="34">
        <f t="shared" si="20"/>
        <v>0.85635375000000014</v>
      </c>
      <c r="H1178" s="35"/>
      <c r="I1178" s="31"/>
      <c r="J1178" s="156">
        <v>0</v>
      </c>
    </row>
    <row r="1179" spans="1:10" ht="15.75" hidden="1" thickBot="1" x14ac:dyDescent="0.3">
      <c r="A1179" s="223"/>
      <c r="B1179" s="226"/>
      <c r="C1179" s="36"/>
      <c r="D1179" s="36"/>
      <c r="E1179" s="37"/>
      <c r="F1179" s="31" t="s">
        <v>572</v>
      </c>
      <c r="G1179" s="31" t="str">
        <f t="shared" si="20"/>
        <v/>
      </c>
      <c r="H1179" s="35"/>
      <c r="I1179" s="31"/>
      <c r="J1179" s="156">
        <v>0</v>
      </c>
    </row>
    <row r="1180" spans="1:10" ht="15.75" hidden="1" thickBot="1" x14ac:dyDescent="0.3">
      <c r="A1180" s="221" t="s">
        <v>408</v>
      </c>
      <c r="B1180" s="224" t="str">
        <f>INDEX(Orçamentária!A:B,MATCH(Composições!A1180,Orçamentária!A:A,0),2)</f>
        <v>Torneira de mesa para lavatório – Linha Acessibilidade</v>
      </c>
      <c r="C1180" s="41"/>
      <c r="D1180" s="26" t="str">
        <f>TRIM(INDEX(Orçamentária!C:C,MATCH(Composições!A1180,Orçamentária!A:A,0),1))</f>
        <v>un</v>
      </c>
      <c r="E1180" s="27"/>
      <c r="F1180" s="42" t="s">
        <v>572</v>
      </c>
      <c r="G1180" s="28" t="str">
        <f t="shared" si="20"/>
        <v/>
      </c>
      <c r="H1180" s="29"/>
      <c r="I1180" s="30"/>
      <c r="J1180" s="156">
        <v>0</v>
      </c>
    </row>
    <row r="1181" spans="1:10" ht="15.75" hidden="1" thickBot="1" x14ac:dyDescent="0.3">
      <c r="A1181" s="222"/>
      <c r="B1181" s="225"/>
      <c r="C1181" s="32"/>
      <c r="D1181" s="32"/>
      <c r="E1181" s="33"/>
      <c r="F1181" s="43" t="s">
        <v>572</v>
      </c>
      <c r="G1181" s="31" t="str">
        <f t="shared" si="20"/>
        <v/>
      </c>
      <c r="H1181" s="35"/>
      <c r="I1181" s="31"/>
      <c r="J1181" s="156">
        <v>0</v>
      </c>
    </row>
    <row r="1182" spans="1:10" ht="26.25" hidden="1" thickBot="1" x14ac:dyDescent="0.3">
      <c r="A1182" s="222"/>
      <c r="B1182" s="225"/>
      <c r="C1182" s="36" t="s">
        <v>409</v>
      </c>
      <c r="D1182" s="47" t="s">
        <v>150</v>
      </c>
      <c r="E1182" s="37">
        <v>1</v>
      </c>
      <c r="F1182" s="34" t="s">
        <v>572</v>
      </c>
      <c r="G1182" s="34" t="str">
        <f t="shared" si="20"/>
        <v/>
      </c>
      <c r="H1182" s="39">
        <f>SUM(G1182:G1185)</f>
        <v>2.6477554500000005</v>
      </c>
      <c r="I1182" s="40"/>
      <c r="J1182" s="156">
        <v>0</v>
      </c>
    </row>
    <row r="1183" spans="1:10" ht="15.75" hidden="1" thickBot="1" x14ac:dyDescent="0.3">
      <c r="A1183" s="222"/>
      <c r="B1183" s="225"/>
      <c r="C1183" s="36" t="s">
        <v>380</v>
      </c>
      <c r="D1183" s="47" t="s">
        <v>299</v>
      </c>
      <c r="E1183" s="37">
        <v>2.1000000000000001E-2</v>
      </c>
      <c r="F1183" s="34">
        <v>3.7049999999999996</v>
      </c>
      <c r="G1183" s="34">
        <f t="shared" si="20"/>
        <v>7.7804999999999999E-2</v>
      </c>
      <c r="H1183" s="35"/>
      <c r="I1183" s="31"/>
      <c r="J1183" s="156">
        <v>0</v>
      </c>
    </row>
    <row r="1184" spans="1:10" ht="15.75" hidden="1" thickBot="1" x14ac:dyDescent="0.3">
      <c r="A1184" s="222"/>
      <c r="B1184" s="225"/>
      <c r="C1184" s="36" t="s">
        <v>39</v>
      </c>
      <c r="D1184" s="47" t="s">
        <v>12</v>
      </c>
      <c r="E1184" s="37">
        <v>9.6000000000000002E-2</v>
      </c>
      <c r="F1184" s="31">
        <v>21.622</v>
      </c>
      <c r="G1184" s="34">
        <f t="shared" si="20"/>
        <v>2.0757120000000002</v>
      </c>
      <c r="H1184" s="35"/>
      <c r="I1184" s="31"/>
      <c r="J1184" s="156">
        <v>0</v>
      </c>
    </row>
    <row r="1185" spans="1:10" ht="15.75" hidden="1" thickBot="1" x14ac:dyDescent="0.3">
      <c r="A1185" s="222"/>
      <c r="B1185" s="225"/>
      <c r="C1185" s="36" t="s">
        <v>23</v>
      </c>
      <c r="D1185" s="47" t="s">
        <v>12</v>
      </c>
      <c r="E1185" s="37">
        <v>3.0300000000000001E-2</v>
      </c>
      <c r="F1185" s="31">
        <v>16.311500000000002</v>
      </c>
      <c r="G1185" s="34">
        <f t="shared" si="20"/>
        <v>0.49423845000000011</v>
      </c>
      <c r="H1185" s="35"/>
      <c r="I1185" s="31"/>
      <c r="J1185" s="156">
        <v>0</v>
      </c>
    </row>
    <row r="1186" spans="1:10" ht="15.75" hidden="1" thickBot="1" x14ac:dyDescent="0.3">
      <c r="A1186" s="223"/>
      <c r="B1186" s="226"/>
      <c r="C1186" s="36"/>
      <c r="D1186" s="36"/>
      <c r="E1186" s="37"/>
      <c r="F1186" s="31" t="s">
        <v>572</v>
      </c>
      <c r="G1186" s="31" t="str">
        <f t="shared" si="20"/>
        <v/>
      </c>
      <c r="H1186" s="35"/>
      <c r="I1186" s="31"/>
      <c r="J1186" s="156">
        <v>0</v>
      </c>
    </row>
    <row r="1187" spans="1:10" ht="15.75" hidden="1" thickBot="1" x14ac:dyDescent="0.3">
      <c r="A1187" s="221" t="s">
        <v>410</v>
      </c>
      <c r="B1187" s="224" t="str">
        <f>INDEX(Orçamentária!A:B,MATCH(Composições!A1187,Orçamentária!A:A,0),2)</f>
        <v>Torneira de mesa para lavatório bica alta – Linha Administrativa</v>
      </c>
      <c r="C1187" s="41"/>
      <c r="D1187" s="26" t="str">
        <f>TRIM(INDEX(Orçamentária!C:C,MATCH(Composições!A1187,Orçamentária!A:A,0),1))</f>
        <v>un</v>
      </c>
      <c r="E1187" s="27"/>
      <c r="F1187" s="42" t="s">
        <v>572</v>
      </c>
      <c r="G1187" s="28" t="str">
        <f t="shared" si="20"/>
        <v/>
      </c>
      <c r="H1187" s="29"/>
      <c r="I1187" s="30"/>
      <c r="J1187" s="156">
        <v>0</v>
      </c>
    </row>
    <row r="1188" spans="1:10" ht="15.75" hidden="1" thickBot="1" x14ac:dyDescent="0.3">
      <c r="A1188" s="222"/>
      <c r="B1188" s="225"/>
      <c r="C1188" s="32"/>
      <c r="D1188" s="32"/>
      <c r="E1188" s="33"/>
      <c r="F1188" s="43" t="s">
        <v>572</v>
      </c>
      <c r="G1188" s="31" t="str">
        <f t="shared" si="20"/>
        <v/>
      </c>
      <c r="H1188" s="35"/>
      <c r="I1188" s="31"/>
      <c r="J1188" s="156">
        <v>0</v>
      </c>
    </row>
    <row r="1189" spans="1:10" ht="26.25" hidden="1" thickBot="1" x14ac:dyDescent="0.3">
      <c r="A1189" s="222"/>
      <c r="B1189" s="225"/>
      <c r="C1189" s="36" t="s">
        <v>411</v>
      </c>
      <c r="D1189" s="47" t="s">
        <v>150</v>
      </c>
      <c r="E1189" s="37">
        <v>1</v>
      </c>
      <c r="F1189" s="34" t="s">
        <v>572</v>
      </c>
      <c r="G1189" s="34" t="str">
        <f t="shared" si="20"/>
        <v/>
      </c>
      <c r="H1189" s="39">
        <f>SUM(G1189:G1192)</f>
        <v>2.6477554500000005</v>
      </c>
      <c r="I1189" s="40"/>
      <c r="J1189" s="156">
        <v>0</v>
      </c>
    </row>
    <row r="1190" spans="1:10" ht="15.75" hidden="1" thickBot="1" x14ac:dyDescent="0.3">
      <c r="A1190" s="222"/>
      <c r="B1190" s="225"/>
      <c r="C1190" s="36" t="s">
        <v>380</v>
      </c>
      <c r="D1190" s="47" t="s">
        <v>299</v>
      </c>
      <c r="E1190" s="37">
        <v>2.1000000000000001E-2</v>
      </c>
      <c r="F1190" s="34">
        <v>3.7049999999999996</v>
      </c>
      <c r="G1190" s="34">
        <f t="shared" si="20"/>
        <v>7.7804999999999999E-2</v>
      </c>
      <c r="H1190" s="35"/>
      <c r="I1190" s="31"/>
      <c r="J1190" s="156">
        <v>0</v>
      </c>
    </row>
    <row r="1191" spans="1:10" ht="15.75" hidden="1" thickBot="1" x14ac:dyDescent="0.3">
      <c r="A1191" s="222"/>
      <c r="B1191" s="225"/>
      <c r="C1191" s="36" t="s">
        <v>39</v>
      </c>
      <c r="D1191" s="47" t="s">
        <v>12</v>
      </c>
      <c r="E1191" s="37">
        <v>9.6000000000000002E-2</v>
      </c>
      <c r="F1191" s="31">
        <v>21.622</v>
      </c>
      <c r="G1191" s="34">
        <f t="shared" si="20"/>
        <v>2.0757120000000002</v>
      </c>
      <c r="H1191" s="35"/>
      <c r="I1191" s="31"/>
      <c r="J1191" s="156">
        <v>0</v>
      </c>
    </row>
    <row r="1192" spans="1:10" ht="15.75" hidden="1" thickBot="1" x14ac:dyDescent="0.3">
      <c r="A1192" s="222"/>
      <c r="B1192" s="225"/>
      <c r="C1192" s="36" t="s">
        <v>23</v>
      </c>
      <c r="D1192" s="47" t="s">
        <v>12</v>
      </c>
      <c r="E1192" s="37">
        <v>3.0300000000000001E-2</v>
      </c>
      <c r="F1192" s="31">
        <v>16.311500000000002</v>
      </c>
      <c r="G1192" s="34">
        <f t="shared" si="20"/>
        <v>0.49423845000000011</v>
      </c>
      <c r="H1192" s="35"/>
      <c r="I1192" s="31"/>
      <c r="J1192" s="156">
        <v>0</v>
      </c>
    </row>
    <row r="1193" spans="1:10" ht="15.75" hidden="1" thickBot="1" x14ac:dyDescent="0.3">
      <c r="A1193" s="223"/>
      <c r="B1193" s="226"/>
      <c r="C1193" s="36"/>
      <c r="D1193" s="36"/>
      <c r="E1193" s="37"/>
      <c r="F1193" s="31" t="s">
        <v>572</v>
      </c>
      <c r="G1193" s="31" t="str">
        <f t="shared" si="20"/>
        <v/>
      </c>
      <c r="H1193" s="35"/>
      <c r="I1193" s="31"/>
      <c r="J1193" s="156">
        <v>0</v>
      </c>
    </row>
    <row r="1194" spans="1:10" ht="15.75" hidden="1" thickBot="1" x14ac:dyDescent="0.3">
      <c r="A1194" s="221" t="s">
        <v>412</v>
      </c>
      <c r="B1194" s="224" t="str">
        <f>INDEX(Orçamentária!A:B,MATCH(Composições!A1194,Orçamentária!A:A,0),2)</f>
        <v>Torneira de mesa para lavatório bica baixa – Linha Administrativa</v>
      </c>
      <c r="C1194" s="41"/>
      <c r="D1194" s="26" t="str">
        <f>TRIM(INDEX(Orçamentária!C:C,MATCH(Composições!A1194,Orçamentária!A:A,0),1))</f>
        <v>un</v>
      </c>
      <c r="E1194" s="27"/>
      <c r="F1194" s="42" t="s">
        <v>572</v>
      </c>
      <c r="G1194" s="28" t="str">
        <f t="shared" si="20"/>
        <v/>
      </c>
      <c r="H1194" s="29"/>
      <c r="I1194" s="30"/>
      <c r="J1194" s="156">
        <v>0</v>
      </c>
    </row>
    <row r="1195" spans="1:10" ht="15.75" hidden="1" thickBot="1" x14ac:dyDescent="0.3">
      <c r="A1195" s="222"/>
      <c r="B1195" s="225"/>
      <c r="C1195" s="32"/>
      <c r="D1195" s="32"/>
      <c r="E1195" s="33"/>
      <c r="F1195" s="43" t="s">
        <v>572</v>
      </c>
      <c r="G1195" s="31" t="str">
        <f t="shared" si="20"/>
        <v/>
      </c>
      <c r="H1195" s="35"/>
      <c r="I1195" s="31"/>
      <c r="J1195" s="156">
        <v>0</v>
      </c>
    </row>
    <row r="1196" spans="1:10" ht="26.25" hidden="1" thickBot="1" x14ac:dyDescent="0.3">
      <c r="A1196" s="222"/>
      <c r="B1196" s="225"/>
      <c r="C1196" s="36" t="s">
        <v>413</v>
      </c>
      <c r="D1196" s="47" t="s">
        <v>150</v>
      </c>
      <c r="E1196" s="37">
        <v>1</v>
      </c>
      <c r="F1196" s="34" t="s">
        <v>572</v>
      </c>
      <c r="G1196" s="34" t="str">
        <f t="shared" si="20"/>
        <v/>
      </c>
      <c r="H1196" s="39">
        <f>SUM(G1196:G1199)</f>
        <v>2.6477554500000005</v>
      </c>
      <c r="I1196" s="40"/>
      <c r="J1196" s="156">
        <v>0</v>
      </c>
    </row>
    <row r="1197" spans="1:10" ht="15.75" hidden="1" thickBot="1" x14ac:dyDescent="0.3">
      <c r="A1197" s="222"/>
      <c r="B1197" s="225"/>
      <c r="C1197" s="36" t="s">
        <v>380</v>
      </c>
      <c r="D1197" s="47" t="s">
        <v>299</v>
      </c>
      <c r="E1197" s="37">
        <v>2.1000000000000001E-2</v>
      </c>
      <c r="F1197" s="34">
        <v>3.7049999999999996</v>
      </c>
      <c r="G1197" s="34">
        <f t="shared" si="20"/>
        <v>7.7804999999999999E-2</v>
      </c>
      <c r="H1197" s="35"/>
      <c r="I1197" s="31"/>
      <c r="J1197" s="156">
        <v>0</v>
      </c>
    </row>
    <row r="1198" spans="1:10" ht="15.75" hidden="1" thickBot="1" x14ac:dyDescent="0.3">
      <c r="A1198" s="222"/>
      <c r="B1198" s="225"/>
      <c r="C1198" s="36" t="s">
        <v>39</v>
      </c>
      <c r="D1198" s="47" t="s">
        <v>12</v>
      </c>
      <c r="E1198" s="37">
        <v>9.6000000000000002E-2</v>
      </c>
      <c r="F1198" s="31">
        <v>21.622</v>
      </c>
      <c r="G1198" s="34">
        <f t="shared" si="20"/>
        <v>2.0757120000000002</v>
      </c>
      <c r="H1198" s="35"/>
      <c r="I1198" s="31"/>
      <c r="J1198" s="156">
        <v>0</v>
      </c>
    </row>
    <row r="1199" spans="1:10" ht="15.75" hidden="1" thickBot="1" x14ac:dyDescent="0.3">
      <c r="A1199" s="222"/>
      <c r="B1199" s="225"/>
      <c r="C1199" s="36" t="s">
        <v>23</v>
      </c>
      <c r="D1199" s="47" t="s">
        <v>12</v>
      </c>
      <c r="E1199" s="37">
        <v>3.0300000000000001E-2</v>
      </c>
      <c r="F1199" s="31">
        <v>16.311500000000002</v>
      </c>
      <c r="G1199" s="34">
        <f t="shared" si="20"/>
        <v>0.49423845000000011</v>
      </c>
      <c r="H1199" s="35"/>
      <c r="I1199" s="31"/>
      <c r="J1199" s="156">
        <v>0</v>
      </c>
    </row>
    <row r="1200" spans="1:10" ht="15.75" hidden="1" thickBot="1" x14ac:dyDescent="0.3">
      <c r="A1200" s="223"/>
      <c r="B1200" s="226"/>
      <c r="C1200" s="36"/>
      <c r="D1200" s="36"/>
      <c r="E1200" s="37"/>
      <c r="F1200" s="31" t="s">
        <v>572</v>
      </c>
      <c r="G1200" s="31" t="str">
        <f t="shared" si="20"/>
        <v/>
      </c>
      <c r="H1200" s="35"/>
      <c r="I1200" s="31"/>
      <c r="J1200" s="156">
        <v>0</v>
      </c>
    </row>
    <row r="1201" spans="1:10" ht="15.75" hidden="1" thickBot="1" x14ac:dyDescent="0.3">
      <c r="A1201" s="221" t="s">
        <v>414</v>
      </c>
      <c r="B1201" s="224" t="str">
        <f>INDEX(Orçamentária!A:B,MATCH(Composições!A1201,Orçamentária!A:A,0),2)</f>
        <v>Torneira de mesa para lavatório com fechamento automático – Linha Administrativa</v>
      </c>
      <c r="C1201" s="41"/>
      <c r="D1201" s="26" t="str">
        <f>TRIM(INDEX(Orçamentária!C:C,MATCH(Composições!A1201,Orçamentária!A:A,0),1))</f>
        <v>un</v>
      </c>
      <c r="E1201" s="27"/>
      <c r="F1201" s="42" t="s">
        <v>572</v>
      </c>
      <c r="G1201" s="28" t="str">
        <f t="shared" si="20"/>
        <v/>
      </c>
      <c r="H1201" s="29"/>
      <c r="I1201" s="30"/>
      <c r="J1201" s="156">
        <v>0</v>
      </c>
    </row>
    <row r="1202" spans="1:10" ht="15.75" hidden="1" thickBot="1" x14ac:dyDescent="0.3">
      <c r="A1202" s="222"/>
      <c r="B1202" s="225"/>
      <c r="C1202" s="32"/>
      <c r="D1202" s="32"/>
      <c r="E1202" s="33"/>
      <c r="F1202" s="43" t="s">
        <v>572</v>
      </c>
      <c r="G1202" s="31" t="str">
        <f t="shared" si="20"/>
        <v/>
      </c>
      <c r="H1202" s="35"/>
      <c r="I1202" s="31"/>
      <c r="J1202" s="156">
        <v>0</v>
      </c>
    </row>
    <row r="1203" spans="1:10" ht="26.25" hidden="1" thickBot="1" x14ac:dyDescent="0.3">
      <c r="A1203" s="222"/>
      <c r="B1203" s="225"/>
      <c r="C1203" s="36" t="s">
        <v>415</v>
      </c>
      <c r="D1203" s="47" t="s">
        <v>299</v>
      </c>
      <c r="E1203" s="37">
        <v>1</v>
      </c>
      <c r="F1203" s="34">
        <v>158.441</v>
      </c>
      <c r="G1203" s="34">
        <f t="shared" si="20"/>
        <v>158.441</v>
      </c>
      <c r="H1203" s="39">
        <f>SUM(G1203:G1206)</f>
        <v>161.08875545000004</v>
      </c>
      <c r="I1203" s="40"/>
      <c r="J1203" s="156">
        <v>0</v>
      </c>
    </row>
    <row r="1204" spans="1:10" ht="15.75" hidden="1" thickBot="1" x14ac:dyDescent="0.3">
      <c r="A1204" s="222"/>
      <c r="B1204" s="225"/>
      <c r="C1204" s="36" t="s">
        <v>380</v>
      </c>
      <c r="D1204" s="47" t="s">
        <v>299</v>
      </c>
      <c r="E1204" s="37">
        <v>2.1000000000000001E-2</v>
      </c>
      <c r="F1204" s="34">
        <v>3.7049999999999996</v>
      </c>
      <c r="G1204" s="34">
        <f t="shared" si="20"/>
        <v>7.7804999999999999E-2</v>
      </c>
      <c r="H1204" s="35"/>
      <c r="I1204" s="31"/>
      <c r="J1204" s="156">
        <v>0</v>
      </c>
    </row>
    <row r="1205" spans="1:10" ht="15.75" hidden="1" thickBot="1" x14ac:dyDescent="0.3">
      <c r="A1205" s="222"/>
      <c r="B1205" s="225"/>
      <c r="C1205" s="36" t="s">
        <v>39</v>
      </c>
      <c r="D1205" s="47" t="s">
        <v>12</v>
      </c>
      <c r="E1205" s="37">
        <v>9.6000000000000002E-2</v>
      </c>
      <c r="F1205" s="31">
        <v>21.622</v>
      </c>
      <c r="G1205" s="34">
        <f t="shared" si="20"/>
        <v>2.0757120000000002</v>
      </c>
      <c r="H1205" s="35"/>
      <c r="I1205" s="31"/>
      <c r="J1205" s="156">
        <v>0</v>
      </c>
    </row>
    <row r="1206" spans="1:10" ht="15.75" hidden="1" thickBot="1" x14ac:dyDescent="0.3">
      <c r="A1206" s="222"/>
      <c r="B1206" s="225"/>
      <c r="C1206" s="36" t="s">
        <v>23</v>
      </c>
      <c r="D1206" s="47" t="s">
        <v>12</v>
      </c>
      <c r="E1206" s="37">
        <v>3.0300000000000001E-2</v>
      </c>
      <c r="F1206" s="31">
        <v>16.311500000000002</v>
      </c>
      <c r="G1206" s="34">
        <f t="shared" si="20"/>
        <v>0.49423845000000011</v>
      </c>
      <c r="H1206" s="35"/>
      <c r="I1206" s="31"/>
      <c r="J1206" s="156">
        <v>0</v>
      </c>
    </row>
    <row r="1207" spans="1:10" ht="15.75" hidden="1" thickBot="1" x14ac:dyDescent="0.3">
      <c r="A1207" s="223"/>
      <c r="B1207" s="226"/>
      <c r="C1207" s="36"/>
      <c r="D1207" s="36"/>
      <c r="E1207" s="37"/>
      <c r="F1207" s="31" t="s">
        <v>572</v>
      </c>
      <c r="G1207" s="31" t="str">
        <f t="shared" si="20"/>
        <v/>
      </c>
      <c r="H1207" s="35"/>
      <c r="I1207" s="31"/>
      <c r="J1207" s="156">
        <v>0</v>
      </c>
    </row>
    <row r="1208" spans="1:10" ht="15.75" hidden="1" thickBot="1" x14ac:dyDescent="0.3">
      <c r="A1208" s="221" t="s">
        <v>416</v>
      </c>
      <c r="B1208" s="224" t="str">
        <f>INDEX(Orçamentária!A:B,MATCH(Composições!A1208,Orçamentária!A:A,0),2)</f>
        <v>Torneira de parede para cozinha bica móvel – Linha Administrativa</v>
      </c>
      <c r="C1208" s="41"/>
      <c r="D1208" s="26" t="str">
        <f>TRIM(INDEX(Orçamentária!C:C,MATCH(Composições!A1208,Orçamentária!A:A,0),1))</f>
        <v>un</v>
      </c>
      <c r="E1208" s="27"/>
      <c r="F1208" s="42" t="s">
        <v>572</v>
      </c>
      <c r="G1208" s="28" t="str">
        <f t="shared" si="20"/>
        <v/>
      </c>
      <c r="H1208" s="29"/>
      <c r="I1208" s="30"/>
      <c r="J1208" s="156">
        <v>0</v>
      </c>
    </row>
    <row r="1209" spans="1:10" ht="15.75" hidden="1" thickBot="1" x14ac:dyDescent="0.3">
      <c r="A1209" s="222"/>
      <c r="B1209" s="225"/>
      <c r="C1209" s="32"/>
      <c r="D1209" s="32"/>
      <c r="E1209" s="33"/>
      <c r="F1209" s="43" t="s">
        <v>572</v>
      </c>
      <c r="G1209" s="31" t="str">
        <f t="shared" si="20"/>
        <v/>
      </c>
      <c r="H1209" s="35"/>
      <c r="I1209" s="31"/>
      <c r="J1209" s="156">
        <v>0</v>
      </c>
    </row>
    <row r="1210" spans="1:10" ht="26.25" hidden="1" thickBot="1" x14ac:dyDescent="0.3">
      <c r="A1210" s="222"/>
      <c r="B1210" s="225"/>
      <c r="C1210" s="36" t="s">
        <v>417</v>
      </c>
      <c r="D1210" s="47" t="s">
        <v>150</v>
      </c>
      <c r="E1210" s="37">
        <v>1</v>
      </c>
      <c r="F1210" s="34" t="s">
        <v>572</v>
      </c>
      <c r="G1210" s="34" t="str">
        <f t="shared" si="20"/>
        <v/>
      </c>
      <c r="H1210" s="39">
        <f>SUM(G1210:G1213)</f>
        <v>3.19323785</v>
      </c>
      <c r="I1210" s="40"/>
      <c r="J1210" s="156">
        <v>0</v>
      </c>
    </row>
    <row r="1211" spans="1:10" ht="15.75" hidden="1" thickBot="1" x14ac:dyDescent="0.3">
      <c r="A1211" s="222"/>
      <c r="B1211" s="225"/>
      <c r="C1211" s="36" t="s">
        <v>380</v>
      </c>
      <c r="D1211" s="47" t="s">
        <v>299</v>
      </c>
      <c r="E1211" s="37">
        <v>2.1000000000000001E-2</v>
      </c>
      <c r="F1211" s="34">
        <v>3.7049999999999996</v>
      </c>
      <c r="G1211" s="34">
        <f t="shared" si="20"/>
        <v>7.7804999999999999E-2</v>
      </c>
      <c r="H1211" s="35"/>
      <c r="I1211" s="31"/>
      <c r="J1211" s="156">
        <v>0</v>
      </c>
    </row>
    <row r="1212" spans="1:10" ht="15.75" hidden="1" thickBot="1" x14ac:dyDescent="0.3">
      <c r="A1212" s="222"/>
      <c r="B1212" s="225"/>
      <c r="C1212" s="36" t="s">
        <v>39</v>
      </c>
      <c r="D1212" s="47" t="s">
        <v>12</v>
      </c>
      <c r="E1212" s="37">
        <v>0.1164</v>
      </c>
      <c r="F1212" s="31">
        <v>21.622</v>
      </c>
      <c r="G1212" s="34">
        <f t="shared" si="20"/>
        <v>2.5168007999999999</v>
      </c>
      <c r="H1212" s="35"/>
      <c r="I1212" s="31"/>
      <c r="J1212" s="156">
        <v>0</v>
      </c>
    </row>
    <row r="1213" spans="1:10" ht="15.75" hidden="1" thickBot="1" x14ac:dyDescent="0.3">
      <c r="A1213" s="222"/>
      <c r="B1213" s="225"/>
      <c r="C1213" s="36" t="s">
        <v>23</v>
      </c>
      <c r="D1213" s="47" t="s">
        <v>12</v>
      </c>
      <c r="E1213" s="37">
        <v>3.6700000000000003E-2</v>
      </c>
      <c r="F1213" s="31">
        <v>16.311500000000002</v>
      </c>
      <c r="G1213" s="34">
        <f t="shared" si="20"/>
        <v>0.59863205000000019</v>
      </c>
      <c r="H1213" s="35"/>
      <c r="I1213" s="31"/>
      <c r="J1213" s="156">
        <v>0</v>
      </c>
    </row>
    <row r="1214" spans="1:10" ht="15.75" hidden="1" thickBot="1" x14ac:dyDescent="0.3">
      <c r="A1214" s="223"/>
      <c r="B1214" s="226"/>
      <c r="C1214" s="36"/>
      <c r="D1214" s="36"/>
      <c r="E1214" s="37"/>
      <c r="F1214" s="31" t="s">
        <v>572</v>
      </c>
      <c r="G1214" s="31" t="str">
        <f t="shared" si="20"/>
        <v/>
      </c>
      <c r="H1214" s="35"/>
      <c r="I1214" s="31"/>
      <c r="J1214" s="156">
        <v>0</v>
      </c>
    </row>
    <row r="1215" spans="1:10" ht="15.75" hidden="1" thickBot="1" x14ac:dyDescent="0.3">
      <c r="A1215" s="221" t="s">
        <v>418</v>
      </c>
      <c r="B1215" s="224" t="str">
        <f>INDEX(Orçamentária!A:B,MATCH(Composições!A1215,Orçamentária!A:A,0),2)</f>
        <v>Torneira de parede para tanque – Linha Administrativa</v>
      </c>
      <c r="C1215" s="41"/>
      <c r="D1215" s="26" t="str">
        <f>TRIM(INDEX(Orçamentária!C:C,MATCH(Composições!A1215,Orçamentária!A:A,0),1))</f>
        <v>un</v>
      </c>
      <c r="E1215" s="27"/>
      <c r="F1215" s="42" t="s">
        <v>572</v>
      </c>
      <c r="G1215" s="28" t="str">
        <f t="shared" si="20"/>
        <v/>
      </c>
      <c r="H1215" s="29"/>
      <c r="I1215" s="30"/>
      <c r="J1215" s="156">
        <v>0</v>
      </c>
    </row>
    <row r="1216" spans="1:10" ht="15.75" hidden="1" thickBot="1" x14ac:dyDescent="0.3">
      <c r="A1216" s="222"/>
      <c r="B1216" s="225"/>
      <c r="C1216" s="32"/>
      <c r="D1216" s="32"/>
      <c r="E1216" s="33"/>
      <c r="F1216" s="43" t="s">
        <v>572</v>
      </c>
      <c r="G1216" s="31" t="str">
        <f t="shared" si="20"/>
        <v/>
      </c>
      <c r="H1216" s="35"/>
      <c r="I1216" s="31"/>
      <c r="J1216" s="156">
        <v>0</v>
      </c>
    </row>
    <row r="1217" spans="1:10" ht="15.75" hidden="1" thickBot="1" x14ac:dyDescent="0.3">
      <c r="A1217" s="222"/>
      <c r="B1217" s="225"/>
      <c r="C1217" s="36" t="s">
        <v>380</v>
      </c>
      <c r="D1217" s="47" t="s">
        <v>299</v>
      </c>
      <c r="E1217" s="37">
        <v>2.1000000000000001E-2</v>
      </c>
      <c r="F1217" s="34">
        <v>3.7049999999999996</v>
      </c>
      <c r="G1217" s="34">
        <f t="shared" si="20"/>
        <v>7.7804999999999999E-2</v>
      </c>
      <c r="H1217" s="39">
        <f>SUM(G1217:G1220)</f>
        <v>60.532743150000002</v>
      </c>
      <c r="I1217" s="40"/>
      <c r="J1217" s="156">
        <v>0</v>
      </c>
    </row>
    <row r="1218" spans="1:10" ht="15.75" hidden="1" thickBot="1" x14ac:dyDescent="0.3">
      <c r="A1218" s="222"/>
      <c r="B1218" s="225"/>
      <c r="C1218" s="36" t="s">
        <v>39</v>
      </c>
      <c r="D1218" s="47" t="s">
        <v>12</v>
      </c>
      <c r="E1218" s="37">
        <v>0.1525</v>
      </c>
      <c r="F1218" s="31">
        <v>21.622</v>
      </c>
      <c r="G1218" s="34">
        <f t="shared" si="20"/>
        <v>3.297355</v>
      </c>
      <c r="H1218" s="35"/>
      <c r="I1218" s="31"/>
      <c r="J1218" s="156">
        <v>0</v>
      </c>
    </row>
    <row r="1219" spans="1:10" ht="15.75" hidden="1" thickBot="1" x14ac:dyDescent="0.3">
      <c r="A1219" s="222"/>
      <c r="B1219" s="225"/>
      <c r="C1219" s="36" t="s">
        <v>23</v>
      </c>
      <c r="D1219" s="36" t="s">
        <v>12</v>
      </c>
      <c r="E1219" s="37">
        <v>4.8099999999999997E-2</v>
      </c>
      <c r="F1219" s="31">
        <v>16.311500000000002</v>
      </c>
      <c r="G1219" s="34">
        <f t="shared" si="20"/>
        <v>0.78458315000000001</v>
      </c>
      <c r="H1219" s="35"/>
      <c r="I1219" s="31"/>
      <c r="J1219" s="156">
        <v>0</v>
      </c>
    </row>
    <row r="1220" spans="1:10" ht="15.75" hidden="1" thickBot="1" x14ac:dyDescent="0.3">
      <c r="A1220" s="222"/>
      <c r="B1220" s="225"/>
      <c r="C1220" s="36" t="s">
        <v>419</v>
      </c>
      <c r="D1220" s="36" t="s">
        <v>20</v>
      </c>
      <c r="E1220" s="37">
        <v>1</v>
      </c>
      <c r="F1220" s="34">
        <v>56.372999999999998</v>
      </c>
      <c r="G1220" s="31">
        <f t="shared" si="20"/>
        <v>56.372999999999998</v>
      </c>
      <c r="H1220" s="35"/>
      <c r="I1220" s="31"/>
      <c r="J1220" s="156">
        <v>0</v>
      </c>
    </row>
    <row r="1221" spans="1:10" ht="15.75" hidden="1" thickBot="1" x14ac:dyDescent="0.3">
      <c r="A1221" s="223"/>
      <c r="B1221" s="226"/>
      <c r="C1221" s="36"/>
      <c r="D1221" s="36"/>
      <c r="E1221" s="37"/>
      <c r="F1221" s="31" t="s">
        <v>572</v>
      </c>
      <c r="G1221" s="31" t="str">
        <f t="shared" si="20"/>
        <v/>
      </c>
      <c r="H1221" s="35"/>
      <c r="I1221" s="31"/>
      <c r="J1221" s="156">
        <v>0</v>
      </c>
    </row>
    <row r="1222" spans="1:10" ht="15.75" hidden="1" thickBot="1" x14ac:dyDescent="0.3">
      <c r="A1222" s="221" t="s">
        <v>420</v>
      </c>
      <c r="B1222" s="224" t="str">
        <f>INDEX(Orçamentária!A:B,MATCH(Composições!A1222,Orçamentária!A:A,0),2)</f>
        <v>Válvula de descarga 1 1/2" – Linha Acessibilidade</v>
      </c>
      <c r="C1222" s="41"/>
      <c r="D1222" s="26" t="str">
        <f>TRIM(INDEX(Orçamentária!C:C,MATCH(Composições!A1222,Orçamentária!A:A,0),1))</f>
        <v>un</v>
      </c>
      <c r="E1222" s="27"/>
      <c r="F1222" s="42" t="s">
        <v>572</v>
      </c>
      <c r="G1222" s="28" t="str">
        <f t="shared" si="20"/>
        <v/>
      </c>
      <c r="H1222" s="29"/>
      <c r="I1222" s="30"/>
      <c r="J1222" s="156">
        <v>0</v>
      </c>
    </row>
    <row r="1223" spans="1:10" ht="15.75" hidden="1" thickBot="1" x14ac:dyDescent="0.3">
      <c r="A1223" s="222"/>
      <c r="B1223" s="225"/>
      <c r="C1223" s="32"/>
      <c r="D1223" s="32"/>
      <c r="E1223" s="33"/>
      <c r="F1223" s="43" t="s">
        <v>572</v>
      </c>
      <c r="G1223" s="31" t="str">
        <f t="shared" si="20"/>
        <v/>
      </c>
      <c r="H1223" s="35"/>
      <c r="I1223" s="31"/>
      <c r="J1223" s="156">
        <v>0</v>
      </c>
    </row>
    <row r="1224" spans="1:10" ht="26.25" hidden="1" thickBot="1" x14ac:dyDescent="0.3">
      <c r="A1224" s="222"/>
      <c r="B1224" s="225"/>
      <c r="C1224" s="36" t="s">
        <v>421</v>
      </c>
      <c r="D1224" s="47" t="s">
        <v>150</v>
      </c>
      <c r="E1224" s="37">
        <v>1</v>
      </c>
      <c r="F1224" s="34" t="s">
        <v>572</v>
      </c>
      <c r="G1224" s="34" t="str">
        <f t="shared" si="20"/>
        <v/>
      </c>
      <c r="H1224" s="39">
        <f>SUM(G1224:G1227)</f>
        <v>30.646316000000006</v>
      </c>
      <c r="I1224" s="40"/>
      <c r="J1224" s="156">
        <v>0</v>
      </c>
    </row>
    <row r="1225" spans="1:10" ht="15.75" hidden="1" thickBot="1" x14ac:dyDescent="0.3">
      <c r="A1225" s="222"/>
      <c r="B1225" s="225"/>
      <c r="C1225" s="36" t="s">
        <v>422</v>
      </c>
      <c r="D1225" s="50" t="s">
        <v>299</v>
      </c>
      <c r="E1225" s="37">
        <v>1.9E-2</v>
      </c>
      <c r="F1225" s="34">
        <v>13.661</v>
      </c>
      <c r="G1225" s="34">
        <f t="shared" si="20"/>
        <v>0.25955899999999998</v>
      </c>
      <c r="H1225" s="35"/>
      <c r="I1225" s="31"/>
      <c r="J1225" s="156">
        <v>0</v>
      </c>
    </row>
    <row r="1226" spans="1:10" ht="26.25" hidden="1" thickBot="1" x14ac:dyDescent="0.3">
      <c r="A1226" s="222"/>
      <c r="B1226" s="225"/>
      <c r="C1226" s="36" t="s">
        <v>110</v>
      </c>
      <c r="D1226" s="47" t="s">
        <v>12</v>
      </c>
      <c r="E1226" s="37">
        <v>0.78900000000000003</v>
      </c>
      <c r="F1226" s="31">
        <v>16.891000000000002</v>
      </c>
      <c r="G1226" s="34">
        <f t="shared" si="20"/>
        <v>13.326999000000002</v>
      </c>
      <c r="H1226" s="35"/>
      <c r="I1226" s="31"/>
      <c r="J1226" s="156">
        <v>0</v>
      </c>
    </row>
    <row r="1227" spans="1:10" ht="15.75" hidden="1" thickBot="1" x14ac:dyDescent="0.3">
      <c r="A1227" s="222"/>
      <c r="B1227" s="225"/>
      <c r="C1227" s="36" t="s">
        <v>39</v>
      </c>
      <c r="D1227" s="47" t="s">
        <v>12</v>
      </c>
      <c r="E1227" s="37">
        <v>0.78900000000000003</v>
      </c>
      <c r="F1227" s="31">
        <v>21.622</v>
      </c>
      <c r="G1227" s="34">
        <f t="shared" si="20"/>
        <v>17.059758000000002</v>
      </c>
      <c r="H1227" s="35"/>
      <c r="I1227" s="31"/>
      <c r="J1227" s="156">
        <v>0</v>
      </c>
    </row>
    <row r="1228" spans="1:10" ht="15.75" hidden="1" thickBot="1" x14ac:dyDescent="0.3">
      <c r="A1228" s="223"/>
      <c r="B1228" s="226"/>
      <c r="C1228" s="36"/>
      <c r="D1228" s="36"/>
      <c r="E1228" s="37"/>
      <c r="F1228" s="31" t="s">
        <v>572</v>
      </c>
      <c r="G1228" s="31" t="str">
        <f t="shared" si="20"/>
        <v/>
      </c>
      <c r="H1228" s="35"/>
      <c r="I1228" s="31"/>
      <c r="J1228" s="156">
        <v>0</v>
      </c>
    </row>
    <row r="1229" spans="1:10" ht="15.75" hidden="1" thickBot="1" x14ac:dyDescent="0.3">
      <c r="A1229" s="221" t="s">
        <v>423</v>
      </c>
      <c r="B1229" s="224" t="str">
        <f>INDEX(Orçamentária!A:B,MATCH(Composições!A1229,Orçamentária!A:A,0),2)</f>
        <v>Válvula de descarga 1 1/2" – Linha Administrativa</v>
      </c>
      <c r="C1229" s="41"/>
      <c r="D1229" s="26" t="str">
        <f>TRIM(INDEX(Orçamentária!C:C,MATCH(Composições!A1229,Orçamentária!A:A,0),1))</f>
        <v>un</v>
      </c>
      <c r="E1229" s="27"/>
      <c r="F1229" s="42" t="s">
        <v>572</v>
      </c>
      <c r="G1229" s="28" t="str">
        <f t="shared" si="20"/>
        <v/>
      </c>
      <c r="H1229" s="29"/>
      <c r="I1229" s="30"/>
      <c r="J1229" s="156">
        <v>0</v>
      </c>
    </row>
    <row r="1230" spans="1:10" ht="15.75" hidden="1" thickBot="1" x14ac:dyDescent="0.3">
      <c r="A1230" s="222"/>
      <c r="B1230" s="225"/>
      <c r="C1230" s="32"/>
      <c r="D1230" s="32"/>
      <c r="E1230" s="33"/>
      <c r="F1230" s="43" t="s">
        <v>572</v>
      </c>
      <c r="G1230" s="31" t="str">
        <f t="shared" si="20"/>
        <v/>
      </c>
      <c r="H1230" s="35"/>
      <c r="I1230" s="31"/>
      <c r="J1230" s="156">
        <v>0</v>
      </c>
    </row>
    <row r="1231" spans="1:10" ht="15.75" hidden="1" thickBot="1" x14ac:dyDescent="0.3">
      <c r="A1231" s="222"/>
      <c r="B1231" s="225"/>
      <c r="C1231" s="36" t="s">
        <v>424</v>
      </c>
      <c r="D1231" s="47" t="s">
        <v>299</v>
      </c>
      <c r="E1231" s="37">
        <v>1</v>
      </c>
      <c r="F1231" s="34">
        <v>199.5</v>
      </c>
      <c r="G1231" s="34">
        <f t="shared" si="20"/>
        <v>199.5</v>
      </c>
      <c r="H1231" s="39">
        <f>SUM(G1231:G1234)</f>
        <v>230.14631600000001</v>
      </c>
      <c r="I1231" s="40"/>
      <c r="J1231" s="156">
        <v>0</v>
      </c>
    </row>
    <row r="1232" spans="1:10" ht="15.75" hidden="1" thickBot="1" x14ac:dyDescent="0.3">
      <c r="A1232" s="222"/>
      <c r="B1232" s="225"/>
      <c r="C1232" s="36" t="s">
        <v>422</v>
      </c>
      <c r="D1232" s="50" t="s">
        <v>299</v>
      </c>
      <c r="E1232" s="37">
        <v>1.9E-2</v>
      </c>
      <c r="F1232" s="34">
        <v>13.661</v>
      </c>
      <c r="G1232" s="34">
        <f t="shared" si="20"/>
        <v>0.25955899999999998</v>
      </c>
      <c r="H1232" s="35"/>
      <c r="I1232" s="31"/>
      <c r="J1232" s="156">
        <v>0</v>
      </c>
    </row>
    <row r="1233" spans="1:10" ht="26.25" hidden="1" thickBot="1" x14ac:dyDescent="0.3">
      <c r="A1233" s="222"/>
      <c r="B1233" s="225"/>
      <c r="C1233" s="36" t="s">
        <v>110</v>
      </c>
      <c r="D1233" s="47" t="s">
        <v>12</v>
      </c>
      <c r="E1233" s="37">
        <v>0.78900000000000003</v>
      </c>
      <c r="F1233" s="31">
        <v>16.891000000000002</v>
      </c>
      <c r="G1233" s="34">
        <f t="shared" si="20"/>
        <v>13.326999000000002</v>
      </c>
      <c r="H1233" s="35"/>
      <c r="I1233" s="31"/>
      <c r="J1233" s="156">
        <v>0</v>
      </c>
    </row>
    <row r="1234" spans="1:10" ht="15.75" hidden="1" thickBot="1" x14ac:dyDescent="0.3">
      <c r="A1234" s="222"/>
      <c r="B1234" s="225"/>
      <c r="C1234" s="36" t="s">
        <v>39</v>
      </c>
      <c r="D1234" s="47" t="s">
        <v>12</v>
      </c>
      <c r="E1234" s="37">
        <v>0.78900000000000003</v>
      </c>
      <c r="F1234" s="31">
        <v>21.622</v>
      </c>
      <c r="G1234" s="34">
        <f t="shared" si="20"/>
        <v>17.059758000000002</v>
      </c>
      <c r="H1234" s="35"/>
      <c r="I1234" s="31"/>
      <c r="J1234" s="156">
        <v>0</v>
      </c>
    </row>
    <row r="1235" spans="1:10" ht="15.75" hidden="1" thickBot="1" x14ac:dyDescent="0.3">
      <c r="A1235" s="223"/>
      <c r="B1235" s="226"/>
      <c r="C1235" s="36"/>
      <c r="D1235" s="36"/>
      <c r="E1235" s="37"/>
      <c r="F1235" s="31" t="s">
        <v>572</v>
      </c>
      <c r="G1235" s="31" t="str">
        <f t="shared" si="20"/>
        <v/>
      </c>
      <c r="H1235" s="35"/>
      <c r="I1235" s="31"/>
      <c r="J1235" s="156">
        <v>0</v>
      </c>
    </row>
    <row r="1236" spans="1:10" ht="15.75" hidden="1" thickBot="1" x14ac:dyDescent="0.3">
      <c r="A1236" s="221" t="s">
        <v>425</v>
      </c>
      <c r="B1236" s="224" t="str">
        <f>INDEX(Orçamentária!A:B,MATCH(Composições!A1236,Orçamentária!A:A,0),2)</f>
        <v>Válvula de descarga 1 1/4" – Linha Acessibilidade</v>
      </c>
      <c r="C1236" s="41"/>
      <c r="D1236" s="26" t="str">
        <f>TRIM(INDEX(Orçamentária!C:C,MATCH(Composições!A1236,Orçamentária!A:A,0),1))</f>
        <v>un</v>
      </c>
      <c r="E1236" s="27"/>
      <c r="F1236" s="42" t="s">
        <v>572</v>
      </c>
      <c r="G1236" s="28" t="str">
        <f t="shared" si="20"/>
        <v/>
      </c>
      <c r="H1236" s="29"/>
      <c r="I1236" s="30"/>
      <c r="J1236" s="156">
        <v>0</v>
      </c>
    </row>
    <row r="1237" spans="1:10" ht="15.75" hidden="1" thickBot="1" x14ac:dyDescent="0.3">
      <c r="A1237" s="222"/>
      <c r="B1237" s="225"/>
      <c r="C1237" s="32"/>
      <c r="D1237" s="32"/>
      <c r="E1237" s="33"/>
      <c r="F1237" s="43" t="s">
        <v>572</v>
      </c>
      <c r="G1237" s="31" t="str">
        <f t="shared" ref="G1237:G1300" si="21">IF(ISNUMBER(F1237),E1237*F1237,"")</f>
        <v/>
      </c>
      <c r="H1237" s="35"/>
      <c r="I1237" s="31"/>
      <c r="J1237" s="156">
        <v>0</v>
      </c>
    </row>
    <row r="1238" spans="1:10" ht="26.25" hidden="1" thickBot="1" x14ac:dyDescent="0.3">
      <c r="A1238" s="222"/>
      <c r="B1238" s="225"/>
      <c r="C1238" s="36" t="s">
        <v>426</v>
      </c>
      <c r="D1238" s="47" t="s">
        <v>150</v>
      </c>
      <c r="E1238" s="37">
        <v>1</v>
      </c>
      <c r="F1238" s="34" t="s">
        <v>572</v>
      </c>
      <c r="G1238" s="34" t="str">
        <f t="shared" si="21"/>
        <v/>
      </c>
      <c r="H1238" s="39">
        <f>SUM(G1238:G1241)</f>
        <v>30.646316000000006</v>
      </c>
      <c r="I1238" s="40"/>
      <c r="J1238" s="156">
        <v>0</v>
      </c>
    </row>
    <row r="1239" spans="1:10" ht="15.75" hidden="1" thickBot="1" x14ac:dyDescent="0.3">
      <c r="A1239" s="222"/>
      <c r="B1239" s="225"/>
      <c r="C1239" s="36" t="s">
        <v>422</v>
      </c>
      <c r="D1239" s="50" t="s">
        <v>299</v>
      </c>
      <c r="E1239" s="37">
        <v>1.9E-2</v>
      </c>
      <c r="F1239" s="34">
        <v>13.661</v>
      </c>
      <c r="G1239" s="34">
        <f t="shared" si="21"/>
        <v>0.25955899999999998</v>
      </c>
      <c r="H1239" s="35"/>
      <c r="I1239" s="31"/>
      <c r="J1239" s="156">
        <v>0</v>
      </c>
    </row>
    <row r="1240" spans="1:10" ht="26.25" hidden="1" thickBot="1" x14ac:dyDescent="0.3">
      <c r="A1240" s="222"/>
      <c r="B1240" s="225"/>
      <c r="C1240" s="36" t="s">
        <v>110</v>
      </c>
      <c r="D1240" s="47" t="s">
        <v>12</v>
      </c>
      <c r="E1240" s="37">
        <v>0.78900000000000003</v>
      </c>
      <c r="F1240" s="31">
        <v>16.891000000000002</v>
      </c>
      <c r="G1240" s="34">
        <f t="shared" si="21"/>
        <v>13.326999000000002</v>
      </c>
      <c r="H1240" s="35"/>
      <c r="I1240" s="31"/>
      <c r="J1240" s="156">
        <v>0</v>
      </c>
    </row>
    <row r="1241" spans="1:10" ht="15.75" hidden="1" thickBot="1" x14ac:dyDescent="0.3">
      <c r="A1241" s="222"/>
      <c r="B1241" s="225"/>
      <c r="C1241" s="36" t="s">
        <v>39</v>
      </c>
      <c r="D1241" s="47" t="s">
        <v>12</v>
      </c>
      <c r="E1241" s="37">
        <v>0.78900000000000003</v>
      </c>
      <c r="F1241" s="31">
        <v>21.622</v>
      </c>
      <c r="G1241" s="34">
        <f t="shared" si="21"/>
        <v>17.059758000000002</v>
      </c>
      <c r="H1241" s="35"/>
      <c r="I1241" s="31"/>
      <c r="J1241" s="156">
        <v>0</v>
      </c>
    </row>
    <row r="1242" spans="1:10" ht="15.75" hidden="1" thickBot="1" x14ac:dyDescent="0.3">
      <c r="A1242" s="223"/>
      <c r="B1242" s="226"/>
      <c r="C1242" s="36"/>
      <c r="D1242" s="36"/>
      <c r="E1242" s="37"/>
      <c r="F1242" s="31" t="s">
        <v>572</v>
      </c>
      <c r="G1242" s="31" t="str">
        <f t="shared" si="21"/>
        <v/>
      </c>
      <c r="H1242" s="35"/>
      <c r="I1242" s="31"/>
      <c r="J1242" s="156">
        <v>0</v>
      </c>
    </row>
    <row r="1243" spans="1:10" ht="15.75" hidden="1" thickBot="1" x14ac:dyDescent="0.3">
      <c r="A1243" s="221" t="s">
        <v>427</v>
      </c>
      <c r="B1243" s="224" t="str">
        <f>INDEX(Orçamentária!A:B,MATCH(Composições!A1243,Orçamentária!A:A,0),2)</f>
        <v>Válvula de descarga 1 1/4" – Linha Administrativa</v>
      </c>
      <c r="C1243" s="41"/>
      <c r="D1243" s="26" t="str">
        <f>TRIM(INDEX(Orçamentária!C:C,MATCH(Composições!A1243,Orçamentária!A:A,0),1))</f>
        <v>un</v>
      </c>
      <c r="E1243" s="27"/>
      <c r="F1243" s="42" t="s">
        <v>572</v>
      </c>
      <c r="G1243" s="28" t="str">
        <f t="shared" si="21"/>
        <v/>
      </c>
      <c r="H1243" s="29"/>
      <c r="I1243" s="30"/>
      <c r="J1243" s="156">
        <v>0</v>
      </c>
    </row>
    <row r="1244" spans="1:10" ht="15.75" hidden="1" thickBot="1" x14ac:dyDescent="0.3">
      <c r="A1244" s="222"/>
      <c r="B1244" s="225"/>
      <c r="C1244" s="32"/>
      <c r="D1244" s="32"/>
      <c r="E1244" s="33"/>
      <c r="F1244" s="43" t="s">
        <v>572</v>
      </c>
      <c r="G1244" s="31" t="str">
        <f t="shared" si="21"/>
        <v/>
      </c>
      <c r="H1244" s="35"/>
      <c r="I1244" s="31"/>
      <c r="J1244" s="156">
        <v>0</v>
      </c>
    </row>
    <row r="1245" spans="1:10" ht="15.75" hidden="1" thickBot="1" x14ac:dyDescent="0.3">
      <c r="A1245" s="222"/>
      <c r="B1245" s="225"/>
      <c r="C1245" s="36" t="s">
        <v>428</v>
      </c>
      <c r="D1245" s="47" t="s">
        <v>299</v>
      </c>
      <c r="E1245" s="37">
        <v>1</v>
      </c>
      <c r="F1245" s="34">
        <v>161.614</v>
      </c>
      <c r="G1245" s="34">
        <f t="shared" si="21"/>
        <v>161.614</v>
      </c>
      <c r="H1245" s="39">
        <f>SUM(G1245:G1248)</f>
        <v>192.26031599999999</v>
      </c>
      <c r="I1245" s="40"/>
      <c r="J1245" s="156">
        <v>0</v>
      </c>
    </row>
    <row r="1246" spans="1:10" ht="15.75" hidden="1" thickBot="1" x14ac:dyDescent="0.3">
      <c r="A1246" s="222"/>
      <c r="B1246" s="225"/>
      <c r="C1246" s="36" t="s">
        <v>422</v>
      </c>
      <c r="D1246" s="50" t="s">
        <v>299</v>
      </c>
      <c r="E1246" s="37">
        <v>1.9E-2</v>
      </c>
      <c r="F1246" s="34">
        <v>13.661</v>
      </c>
      <c r="G1246" s="34">
        <f t="shared" si="21"/>
        <v>0.25955899999999998</v>
      </c>
      <c r="H1246" s="35"/>
      <c r="I1246" s="31"/>
      <c r="J1246" s="156">
        <v>0</v>
      </c>
    </row>
    <row r="1247" spans="1:10" ht="26.25" hidden="1" thickBot="1" x14ac:dyDescent="0.3">
      <c r="A1247" s="222"/>
      <c r="B1247" s="225"/>
      <c r="C1247" s="36" t="s">
        <v>110</v>
      </c>
      <c r="D1247" s="47" t="s">
        <v>12</v>
      </c>
      <c r="E1247" s="37">
        <v>0.78900000000000003</v>
      </c>
      <c r="F1247" s="31">
        <v>16.891000000000002</v>
      </c>
      <c r="G1247" s="34">
        <f t="shared" si="21"/>
        <v>13.326999000000002</v>
      </c>
      <c r="H1247" s="35"/>
      <c r="I1247" s="31"/>
      <c r="J1247" s="156">
        <v>0</v>
      </c>
    </row>
    <row r="1248" spans="1:10" ht="15.75" hidden="1" thickBot="1" x14ac:dyDescent="0.3">
      <c r="A1248" s="222"/>
      <c r="B1248" s="225"/>
      <c r="C1248" s="36" t="s">
        <v>39</v>
      </c>
      <c r="D1248" s="47" t="s">
        <v>12</v>
      </c>
      <c r="E1248" s="37">
        <v>0.78900000000000003</v>
      </c>
      <c r="F1248" s="31">
        <v>21.622</v>
      </c>
      <c r="G1248" s="34">
        <f t="shared" si="21"/>
        <v>17.059758000000002</v>
      </c>
      <c r="H1248" s="35"/>
      <c r="I1248" s="31"/>
      <c r="J1248" s="156">
        <v>0</v>
      </c>
    </row>
    <row r="1249" spans="1:10" ht="15.75" hidden="1" thickBot="1" x14ac:dyDescent="0.3">
      <c r="A1249" s="223"/>
      <c r="B1249" s="226"/>
      <c r="C1249" s="36"/>
      <c r="D1249" s="36"/>
      <c r="E1249" s="37"/>
      <c r="F1249" s="31" t="s">
        <v>572</v>
      </c>
      <c r="G1249" s="31" t="str">
        <f t="shared" si="21"/>
        <v/>
      </c>
      <c r="H1249" s="35"/>
      <c r="I1249" s="31"/>
      <c r="J1249" s="156">
        <v>0</v>
      </c>
    </row>
    <row r="1250" spans="1:10" ht="15.75" hidden="1" thickBot="1" x14ac:dyDescent="0.3">
      <c r="A1250" s="221" t="s">
        <v>429</v>
      </c>
      <c r="B1250" s="224" t="str">
        <f>INDEX(Orçamentária!A:B,MATCH(Composições!A1250,Orçamentária!A:A,0),2)</f>
        <v>Válvula de escoamento para lavatório – Linha Administrativa</v>
      </c>
      <c r="C1250" s="41"/>
      <c r="D1250" s="26" t="str">
        <f>TRIM(INDEX(Orçamentária!C:C,MATCH(Composições!A1250,Orçamentária!A:A,0),1))</f>
        <v>un</v>
      </c>
      <c r="E1250" s="27"/>
      <c r="F1250" s="42" t="s">
        <v>572</v>
      </c>
      <c r="G1250" s="28" t="str">
        <f t="shared" si="21"/>
        <v/>
      </c>
      <c r="H1250" s="29"/>
      <c r="I1250" s="30"/>
      <c r="J1250" s="156">
        <v>0</v>
      </c>
    </row>
    <row r="1251" spans="1:10" ht="15.75" hidden="1" thickBot="1" x14ac:dyDescent="0.3">
      <c r="A1251" s="222"/>
      <c r="B1251" s="225"/>
      <c r="C1251" s="32"/>
      <c r="D1251" s="32"/>
      <c r="E1251" s="33"/>
      <c r="F1251" s="43" t="s">
        <v>572</v>
      </c>
      <c r="G1251" s="31" t="str">
        <f t="shared" si="21"/>
        <v/>
      </c>
      <c r="H1251" s="35"/>
      <c r="I1251" s="31"/>
      <c r="J1251" s="156">
        <v>0</v>
      </c>
    </row>
    <row r="1252" spans="1:10" ht="15.75" hidden="1" thickBot="1" x14ac:dyDescent="0.3">
      <c r="A1252" s="222"/>
      <c r="B1252" s="225"/>
      <c r="C1252" s="36" t="s">
        <v>430</v>
      </c>
      <c r="D1252" s="47" t="s">
        <v>299</v>
      </c>
      <c r="E1252" s="37">
        <v>1</v>
      </c>
      <c r="F1252" s="34">
        <v>42.141999999999996</v>
      </c>
      <c r="G1252" s="34">
        <f t="shared" si="21"/>
        <v>42.141999999999996</v>
      </c>
      <c r="H1252" s="39">
        <f>SUM(G1252:G1255)</f>
        <v>46.975938200000002</v>
      </c>
      <c r="I1252" s="40"/>
      <c r="J1252" s="156">
        <v>0</v>
      </c>
    </row>
    <row r="1253" spans="1:10" ht="15.75" hidden="1" thickBot="1" x14ac:dyDescent="0.3">
      <c r="A1253" s="222"/>
      <c r="B1253" s="225"/>
      <c r="C1253" s="36" t="s">
        <v>380</v>
      </c>
      <c r="D1253" s="47" t="s">
        <v>299</v>
      </c>
      <c r="E1253" s="37">
        <v>4.8000000000000001E-2</v>
      </c>
      <c r="F1253" s="34">
        <v>3.7049999999999996</v>
      </c>
      <c r="G1253" s="34">
        <f t="shared" si="21"/>
        <v>0.17784</v>
      </c>
      <c r="H1253" s="35"/>
      <c r="I1253" s="31"/>
      <c r="J1253" s="156">
        <v>0</v>
      </c>
    </row>
    <row r="1254" spans="1:10" ht="15.75" hidden="1" thickBot="1" x14ac:dyDescent="0.3">
      <c r="A1254" s="222"/>
      <c r="B1254" s="225"/>
      <c r="C1254" s="36" t="s">
        <v>39</v>
      </c>
      <c r="D1254" s="47" t="s">
        <v>12</v>
      </c>
      <c r="E1254" s="37">
        <v>0.17399999999999999</v>
      </c>
      <c r="F1254" s="31">
        <v>21.622</v>
      </c>
      <c r="G1254" s="34">
        <f t="shared" si="21"/>
        <v>3.7622279999999999</v>
      </c>
      <c r="H1254" s="35"/>
      <c r="I1254" s="31"/>
      <c r="J1254" s="156">
        <v>0</v>
      </c>
    </row>
    <row r="1255" spans="1:10" ht="15.75" hidden="1" thickBot="1" x14ac:dyDescent="0.3">
      <c r="A1255" s="222"/>
      <c r="B1255" s="225"/>
      <c r="C1255" s="36" t="s">
        <v>23</v>
      </c>
      <c r="D1255" s="47" t="s">
        <v>12</v>
      </c>
      <c r="E1255" s="37">
        <v>5.4800000000000001E-2</v>
      </c>
      <c r="F1255" s="31">
        <v>16.311500000000002</v>
      </c>
      <c r="G1255" s="34">
        <f t="shared" si="21"/>
        <v>0.89387020000000017</v>
      </c>
      <c r="H1255" s="35"/>
      <c r="I1255" s="31"/>
      <c r="J1255" s="156">
        <v>0</v>
      </c>
    </row>
    <row r="1256" spans="1:10" ht="15.75" hidden="1" thickBot="1" x14ac:dyDescent="0.3">
      <c r="A1256" s="223"/>
      <c r="B1256" s="226"/>
      <c r="C1256" s="36"/>
      <c r="D1256" s="36"/>
      <c r="E1256" s="37"/>
      <c r="F1256" s="31" t="s">
        <v>572</v>
      </c>
      <c r="G1256" s="31" t="str">
        <f t="shared" si="21"/>
        <v/>
      </c>
      <c r="H1256" s="35"/>
      <c r="I1256" s="31"/>
      <c r="J1256" s="156">
        <v>0</v>
      </c>
    </row>
    <row r="1257" spans="1:10" ht="15.75" hidden="1" thickBot="1" x14ac:dyDescent="0.3">
      <c r="A1257" s="221" t="s">
        <v>431</v>
      </c>
      <c r="B1257" s="224" t="str">
        <f>INDEX(Orçamentária!A:B,MATCH(Composições!A1257,Orçamentária!A:A,0),2)</f>
        <v>Válvula de escoamento para tanque – Linha Administrativa</v>
      </c>
      <c r="C1257" s="41"/>
      <c r="D1257" s="26" t="str">
        <f>TRIM(INDEX(Orçamentária!C:C,MATCH(Composições!A1257,Orçamentária!A:A,0),1))</f>
        <v>un</v>
      </c>
      <c r="E1257" s="27"/>
      <c r="F1257" s="42" t="s">
        <v>572</v>
      </c>
      <c r="G1257" s="28" t="str">
        <f t="shared" si="21"/>
        <v/>
      </c>
      <c r="H1257" s="29"/>
      <c r="I1257" s="30"/>
      <c r="J1257" s="156">
        <v>0</v>
      </c>
    </row>
    <row r="1258" spans="1:10" ht="15.75" hidden="1" thickBot="1" x14ac:dyDescent="0.3">
      <c r="A1258" s="222"/>
      <c r="B1258" s="225"/>
      <c r="C1258" s="32"/>
      <c r="D1258" s="32"/>
      <c r="E1258" s="33"/>
      <c r="F1258" s="43" t="s">
        <v>572</v>
      </c>
      <c r="G1258" s="31" t="str">
        <f t="shared" si="21"/>
        <v/>
      </c>
      <c r="H1258" s="35"/>
      <c r="I1258" s="31"/>
      <c r="J1258" s="156">
        <v>0</v>
      </c>
    </row>
    <row r="1259" spans="1:10" ht="15.75" hidden="1" thickBot="1" x14ac:dyDescent="0.3">
      <c r="A1259" s="222"/>
      <c r="B1259" s="225"/>
      <c r="C1259" s="36" t="s">
        <v>380</v>
      </c>
      <c r="D1259" s="47" t="s">
        <v>299</v>
      </c>
      <c r="E1259" s="37">
        <v>3.32E-2</v>
      </c>
      <c r="F1259" s="34">
        <v>3.7049999999999996</v>
      </c>
      <c r="G1259" s="34">
        <f t="shared" si="21"/>
        <v>0.12300599999999999</v>
      </c>
      <c r="H1259" s="39">
        <f>SUM(G1259:G1262)</f>
        <v>24.861222599999998</v>
      </c>
      <c r="I1259" s="40"/>
      <c r="J1259" s="156">
        <v>0</v>
      </c>
    </row>
    <row r="1260" spans="1:10" ht="15.75" hidden="1" thickBot="1" x14ac:dyDescent="0.3">
      <c r="A1260" s="222"/>
      <c r="B1260" s="225"/>
      <c r="C1260" s="36" t="s">
        <v>432</v>
      </c>
      <c r="D1260" s="36" t="s">
        <v>20</v>
      </c>
      <c r="E1260" s="37">
        <v>1</v>
      </c>
      <c r="F1260" s="34">
        <v>21.441499999999998</v>
      </c>
      <c r="G1260" s="34">
        <f t="shared" si="21"/>
        <v>21.441499999999998</v>
      </c>
      <c r="H1260" s="35"/>
      <c r="I1260" s="31"/>
      <c r="J1260" s="156">
        <v>0</v>
      </c>
    </row>
    <row r="1261" spans="1:10" ht="15.75" hidden="1" thickBot="1" x14ac:dyDescent="0.3">
      <c r="A1261" s="222"/>
      <c r="B1261" s="225"/>
      <c r="C1261" s="36" t="s">
        <v>39</v>
      </c>
      <c r="D1261" s="47" t="s">
        <v>12</v>
      </c>
      <c r="E1261" s="37">
        <v>0.1232</v>
      </c>
      <c r="F1261" s="31">
        <v>21.622</v>
      </c>
      <c r="G1261" s="34">
        <f t="shared" si="21"/>
        <v>2.6638304000000002</v>
      </c>
      <c r="H1261" s="35"/>
      <c r="I1261" s="31"/>
      <c r="J1261" s="156">
        <v>0</v>
      </c>
    </row>
    <row r="1262" spans="1:10" ht="15.75" hidden="1" thickBot="1" x14ac:dyDescent="0.3">
      <c r="A1262" s="222"/>
      <c r="B1262" s="225"/>
      <c r="C1262" s="36" t="s">
        <v>23</v>
      </c>
      <c r="D1262" s="36" t="s">
        <v>12</v>
      </c>
      <c r="E1262" s="37">
        <v>3.8800000000000001E-2</v>
      </c>
      <c r="F1262" s="31">
        <v>16.311500000000002</v>
      </c>
      <c r="G1262" s="34">
        <f t="shared" si="21"/>
        <v>0.63288620000000007</v>
      </c>
      <c r="H1262" s="35"/>
      <c r="I1262" s="31"/>
      <c r="J1262" s="156">
        <v>0</v>
      </c>
    </row>
    <row r="1263" spans="1:10" ht="15.75" hidden="1" thickBot="1" x14ac:dyDescent="0.3">
      <c r="A1263" s="223"/>
      <c r="B1263" s="226"/>
      <c r="C1263" s="36"/>
      <c r="D1263" s="36"/>
      <c r="E1263" s="37"/>
      <c r="F1263" s="31" t="s">
        <v>572</v>
      </c>
      <c r="G1263" s="31" t="str">
        <f t="shared" si="21"/>
        <v/>
      </c>
      <c r="H1263" s="35"/>
      <c r="I1263" s="31"/>
      <c r="J1263" s="156">
        <v>0</v>
      </c>
    </row>
    <row r="1264" spans="1:10" ht="15.75" hidden="1" thickBot="1" x14ac:dyDescent="0.3">
      <c r="A1264" s="221" t="s">
        <v>433</v>
      </c>
      <c r="B1264" s="224" t="str">
        <f>INDEX(Orçamentária!A:B,MATCH(Composições!A1264,Orçamentária!A:A,0),2)</f>
        <v>Válvula descarga para mictório – Linha Administrativa</v>
      </c>
      <c r="C1264" s="41"/>
      <c r="D1264" s="26" t="str">
        <f>TRIM(INDEX(Orçamentária!C:C,MATCH(Composições!A1264,Orçamentária!A:A,0),1))</f>
        <v>un</v>
      </c>
      <c r="E1264" s="27"/>
      <c r="F1264" s="42" t="s">
        <v>572</v>
      </c>
      <c r="G1264" s="28" t="str">
        <f t="shared" si="21"/>
        <v/>
      </c>
      <c r="H1264" s="29"/>
      <c r="I1264" s="30"/>
      <c r="J1264" s="156">
        <v>0</v>
      </c>
    </row>
    <row r="1265" spans="1:10" ht="15.75" hidden="1" thickBot="1" x14ac:dyDescent="0.3">
      <c r="A1265" s="222"/>
      <c r="B1265" s="225"/>
      <c r="C1265" s="32"/>
      <c r="D1265" s="32"/>
      <c r="E1265" s="33"/>
      <c r="F1265" s="43" t="s">
        <v>572</v>
      </c>
      <c r="G1265" s="31" t="str">
        <f t="shared" si="21"/>
        <v/>
      </c>
      <c r="H1265" s="35"/>
      <c r="I1265" s="31"/>
      <c r="J1265" s="156">
        <v>0</v>
      </c>
    </row>
    <row r="1266" spans="1:10" ht="26.25" hidden="1" thickBot="1" x14ac:dyDescent="0.3">
      <c r="A1266" s="222"/>
      <c r="B1266" s="225"/>
      <c r="C1266" s="36" t="s">
        <v>434</v>
      </c>
      <c r="D1266" s="47" t="s">
        <v>299</v>
      </c>
      <c r="E1266" s="37">
        <v>1</v>
      </c>
      <c r="F1266" s="34">
        <v>171.73150000000001</v>
      </c>
      <c r="G1266" s="31">
        <f t="shared" si="21"/>
        <v>171.73150000000001</v>
      </c>
      <c r="H1266" s="39">
        <f>SUM(G1266:G1269)</f>
        <v>202.377816</v>
      </c>
      <c r="I1266" s="40"/>
      <c r="J1266" s="156">
        <v>0</v>
      </c>
    </row>
    <row r="1267" spans="1:10" ht="15.75" hidden="1" thickBot="1" x14ac:dyDescent="0.3">
      <c r="A1267" s="222"/>
      <c r="B1267" s="225"/>
      <c r="C1267" s="36" t="s">
        <v>422</v>
      </c>
      <c r="D1267" s="50" t="s">
        <v>299</v>
      </c>
      <c r="E1267" s="37">
        <v>1.9E-2</v>
      </c>
      <c r="F1267" s="34">
        <v>13.661</v>
      </c>
      <c r="G1267" s="31">
        <f t="shared" si="21"/>
        <v>0.25955899999999998</v>
      </c>
      <c r="H1267" s="35"/>
      <c r="I1267" s="31"/>
      <c r="J1267" s="156">
        <v>0</v>
      </c>
    </row>
    <row r="1268" spans="1:10" ht="26.25" hidden="1" thickBot="1" x14ac:dyDescent="0.3">
      <c r="A1268" s="222"/>
      <c r="B1268" s="225"/>
      <c r="C1268" s="36" t="s">
        <v>110</v>
      </c>
      <c r="D1268" s="47" t="s">
        <v>12</v>
      </c>
      <c r="E1268" s="37">
        <v>0.78900000000000003</v>
      </c>
      <c r="F1268" s="31">
        <v>16.891000000000002</v>
      </c>
      <c r="G1268" s="31">
        <f t="shared" si="21"/>
        <v>13.326999000000002</v>
      </c>
      <c r="H1268" s="35"/>
      <c r="I1268" s="31"/>
      <c r="J1268" s="156">
        <v>0</v>
      </c>
    </row>
    <row r="1269" spans="1:10" ht="15.75" hidden="1" thickBot="1" x14ac:dyDescent="0.3">
      <c r="A1269" s="222"/>
      <c r="B1269" s="225"/>
      <c r="C1269" s="36" t="s">
        <v>39</v>
      </c>
      <c r="D1269" s="47" t="s">
        <v>12</v>
      </c>
      <c r="E1269" s="37">
        <v>0.78900000000000003</v>
      </c>
      <c r="F1269" s="31">
        <v>21.622</v>
      </c>
      <c r="G1269" s="34">
        <f t="shared" si="21"/>
        <v>17.059758000000002</v>
      </c>
      <c r="H1269" s="35"/>
      <c r="I1269" s="31"/>
      <c r="J1269" s="156">
        <v>0</v>
      </c>
    </row>
    <row r="1270" spans="1:10" ht="15.75" hidden="1" thickBot="1" x14ac:dyDescent="0.3">
      <c r="A1270" s="223"/>
      <c r="B1270" s="226"/>
      <c r="C1270" s="36"/>
      <c r="D1270" s="36"/>
      <c r="E1270" s="37"/>
      <c r="F1270" s="31" t="s">
        <v>572</v>
      </c>
      <c r="G1270" s="31" t="str">
        <f t="shared" si="21"/>
        <v/>
      </c>
      <c r="H1270" s="35"/>
      <c r="I1270" s="31"/>
      <c r="J1270" s="156">
        <v>0</v>
      </c>
    </row>
    <row r="1271" spans="1:10" ht="15.75" hidden="1" thickBot="1" x14ac:dyDescent="0.3">
      <c r="A1271" s="221" t="s">
        <v>435</v>
      </c>
      <c r="B1271" s="224" t="str">
        <f>INDEX(Orçamentária!A:B,MATCH(Composições!A1271,Orçamentária!A:A,0),2)</f>
        <v>Alarme de emergência para sanitários PNE</v>
      </c>
      <c r="C1271" s="41"/>
      <c r="D1271" s="26" t="str">
        <f>TRIM(INDEX(Orçamentária!C:C,MATCH(Composições!A1271,Orçamentária!A:A,0),1))</f>
        <v>un</v>
      </c>
      <c r="E1271" s="27"/>
      <c r="F1271" s="42" t="s">
        <v>572</v>
      </c>
      <c r="G1271" s="28" t="str">
        <f t="shared" si="21"/>
        <v/>
      </c>
      <c r="H1271" s="29"/>
      <c r="I1271" s="30"/>
      <c r="J1271" s="156">
        <v>0</v>
      </c>
    </row>
    <row r="1272" spans="1:10" ht="15.75" hidden="1" thickBot="1" x14ac:dyDescent="0.3">
      <c r="A1272" s="222"/>
      <c r="B1272" s="225"/>
      <c r="C1272" s="32"/>
      <c r="D1272" s="32"/>
      <c r="E1272" s="33"/>
      <c r="F1272" s="43" t="s">
        <v>572</v>
      </c>
      <c r="G1272" s="31" t="str">
        <f t="shared" si="21"/>
        <v/>
      </c>
      <c r="H1272" s="35"/>
      <c r="I1272" s="31"/>
      <c r="J1272" s="156">
        <v>0</v>
      </c>
    </row>
    <row r="1273" spans="1:10" ht="15.75" hidden="1" thickBot="1" x14ac:dyDescent="0.3">
      <c r="A1273" s="222"/>
      <c r="B1273" s="225"/>
      <c r="C1273" s="36" t="s">
        <v>30</v>
      </c>
      <c r="D1273" s="36" t="s">
        <v>12</v>
      </c>
      <c r="E1273" s="37">
        <v>0.28999999999999998</v>
      </c>
      <c r="F1273" s="31">
        <v>22.268000000000001</v>
      </c>
      <c r="G1273" s="31">
        <f t="shared" si="21"/>
        <v>6.4577200000000001</v>
      </c>
      <c r="H1273" s="39">
        <f>SUM(G1273:G1275)</f>
        <v>11.49386</v>
      </c>
      <c r="I1273" s="40"/>
      <c r="J1273" s="156">
        <v>0</v>
      </c>
    </row>
    <row r="1274" spans="1:10" ht="15.75" hidden="1" thickBot="1" x14ac:dyDescent="0.3">
      <c r="A1274" s="222"/>
      <c r="B1274" s="225"/>
      <c r="C1274" s="36" t="s">
        <v>74</v>
      </c>
      <c r="D1274" s="47" t="s">
        <v>12</v>
      </c>
      <c r="E1274" s="37">
        <v>0.28999999999999998</v>
      </c>
      <c r="F1274" s="31">
        <v>17.366</v>
      </c>
      <c r="G1274" s="31">
        <f t="shared" si="21"/>
        <v>5.0361399999999996</v>
      </c>
      <c r="H1274" s="35"/>
      <c r="I1274" s="31"/>
      <c r="J1274" s="156">
        <v>0</v>
      </c>
    </row>
    <row r="1275" spans="1:10" ht="26.25" hidden="1" thickBot="1" x14ac:dyDescent="0.3">
      <c r="A1275" s="222"/>
      <c r="B1275" s="225"/>
      <c r="C1275" s="36" t="s">
        <v>436</v>
      </c>
      <c r="D1275" s="36" t="s">
        <v>150</v>
      </c>
      <c r="E1275" s="37">
        <v>1</v>
      </c>
      <c r="F1275" s="34" t="s">
        <v>572</v>
      </c>
      <c r="G1275" s="31" t="str">
        <f t="shared" si="21"/>
        <v/>
      </c>
      <c r="H1275" s="35"/>
      <c r="I1275" s="31"/>
      <c r="J1275" s="156">
        <v>0</v>
      </c>
    </row>
    <row r="1276" spans="1:10" ht="15.75" hidden="1" thickBot="1" x14ac:dyDescent="0.3">
      <c r="A1276" s="223"/>
      <c r="B1276" s="226"/>
      <c r="C1276" s="36"/>
      <c r="D1276" s="36"/>
      <c r="E1276" s="37"/>
      <c r="F1276" s="31" t="s">
        <v>572</v>
      </c>
      <c r="G1276" s="31" t="str">
        <f t="shared" si="21"/>
        <v/>
      </c>
      <c r="H1276" s="35"/>
      <c r="I1276" s="31"/>
      <c r="J1276" s="156">
        <v>0</v>
      </c>
    </row>
    <row r="1277" spans="1:10" ht="15.75" hidden="1" thickBot="1" x14ac:dyDescent="0.3">
      <c r="A1277" s="221" t="s">
        <v>437</v>
      </c>
      <c r="B1277" s="224" t="str">
        <f>INDEX(Orçamentária!A:B,MATCH(Composições!A1277,Orçamentária!A:A,0),2)</f>
        <v>Barra de apoio 40cm – Linha Acessibilidade</v>
      </c>
      <c r="C1277" s="41"/>
      <c r="D1277" s="26" t="str">
        <f>TRIM(INDEX(Orçamentária!C:C,MATCH(Composições!A1277,Orçamentária!A:A,0),1))</f>
        <v>un</v>
      </c>
      <c r="E1277" s="27"/>
      <c r="F1277" s="42" t="s">
        <v>572</v>
      </c>
      <c r="G1277" s="28" t="str">
        <f t="shared" si="21"/>
        <v/>
      </c>
      <c r="H1277" s="29"/>
      <c r="I1277" s="30"/>
      <c r="J1277" s="156">
        <v>0</v>
      </c>
    </row>
    <row r="1278" spans="1:10" ht="15.75" hidden="1" thickBot="1" x14ac:dyDescent="0.3">
      <c r="A1278" s="222"/>
      <c r="B1278" s="225"/>
      <c r="C1278" s="32"/>
      <c r="D1278" s="32"/>
      <c r="E1278" s="33"/>
      <c r="F1278" s="43" t="s">
        <v>572</v>
      </c>
      <c r="G1278" s="31" t="str">
        <f t="shared" si="21"/>
        <v/>
      </c>
      <c r="H1278" s="35"/>
      <c r="I1278" s="31"/>
      <c r="J1278" s="156">
        <v>0</v>
      </c>
    </row>
    <row r="1279" spans="1:10" ht="26.25" hidden="1" thickBot="1" x14ac:dyDescent="0.3">
      <c r="A1279" s="222"/>
      <c r="B1279" s="225"/>
      <c r="C1279" s="36" t="s">
        <v>438</v>
      </c>
      <c r="D1279" s="47" t="s">
        <v>150</v>
      </c>
      <c r="E1279" s="37">
        <v>1</v>
      </c>
      <c r="F1279" s="34" t="s">
        <v>572</v>
      </c>
      <c r="G1279" s="34" t="str">
        <f t="shared" si="21"/>
        <v/>
      </c>
      <c r="H1279" s="39">
        <f>SUM(G1279:G1282)</f>
        <v>40.222999999999999</v>
      </c>
      <c r="I1279" s="40"/>
      <c r="J1279" s="156">
        <v>0</v>
      </c>
    </row>
    <row r="1280" spans="1:10" ht="26.25" hidden="1" thickBot="1" x14ac:dyDescent="0.3">
      <c r="A1280" s="222"/>
      <c r="B1280" s="225"/>
      <c r="C1280" s="36" t="s">
        <v>439</v>
      </c>
      <c r="D1280" s="47" t="s">
        <v>299</v>
      </c>
      <c r="E1280" s="37">
        <v>6</v>
      </c>
      <c r="F1280" s="34">
        <v>0.30399999999999999</v>
      </c>
      <c r="G1280" s="34">
        <f t="shared" si="21"/>
        <v>1.8239999999999998</v>
      </c>
      <c r="H1280" s="35"/>
      <c r="I1280" s="31"/>
      <c r="J1280" s="156">
        <v>0</v>
      </c>
    </row>
    <row r="1281" spans="1:10" ht="15.75" hidden="1" thickBot="1" x14ac:dyDescent="0.3">
      <c r="A1281" s="222"/>
      <c r="B1281" s="225"/>
      <c r="C1281" s="36" t="s">
        <v>22</v>
      </c>
      <c r="D1281" s="36" t="s">
        <v>12</v>
      </c>
      <c r="E1281" s="37">
        <v>1</v>
      </c>
      <c r="F1281" s="31">
        <v>22.087499999999999</v>
      </c>
      <c r="G1281" s="34">
        <f t="shared" si="21"/>
        <v>22.087499999999999</v>
      </c>
      <c r="H1281" s="35"/>
      <c r="I1281" s="31"/>
      <c r="J1281" s="156">
        <v>0</v>
      </c>
    </row>
    <row r="1282" spans="1:10" ht="15.75" hidden="1" thickBot="1" x14ac:dyDescent="0.3">
      <c r="A1282" s="222"/>
      <c r="B1282" s="225"/>
      <c r="C1282" s="36" t="s">
        <v>23</v>
      </c>
      <c r="D1282" s="36" t="s">
        <v>12</v>
      </c>
      <c r="E1282" s="37">
        <v>1</v>
      </c>
      <c r="F1282" s="31">
        <v>16.311500000000002</v>
      </c>
      <c r="G1282" s="34">
        <f t="shared" si="21"/>
        <v>16.311500000000002</v>
      </c>
      <c r="H1282" s="35"/>
      <c r="I1282" s="31"/>
      <c r="J1282" s="156">
        <v>0</v>
      </c>
    </row>
    <row r="1283" spans="1:10" ht="15.75" hidden="1" thickBot="1" x14ac:dyDescent="0.3">
      <c r="A1283" s="223"/>
      <c r="B1283" s="226"/>
      <c r="C1283" s="36"/>
      <c r="D1283" s="36"/>
      <c r="E1283" s="37"/>
      <c r="F1283" s="31" t="s">
        <v>572</v>
      </c>
      <c r="G1283" s="31" t="str">
        <f t="shared" si="21"/>
        <v/>
      </c>
      <c r="H1283" s="35"/>
      <c r="I1283" s="31"/>
      <c r="J1283" s="156">
        <v>0</v>
      </c>
    </row>
    <row r="1284" spans="1:10" ht="15.75" hidden="1" thickBot="1" x14ac:dyDescent="0.3">
      <c r="A1284" s="221" t="s">
        <v>440</v>
      </c>
      <c r="B1284" s="224" t="str">
        <f>INDEX(Orçamentária!A:B,MATCH(Composições!A1284,Orçamentária!A:A,0),2)</f>
        <v>Barra de apoio 70cm – Linha Acessibilidade</v>
      </c>
      <c r="C1284" s="41"/>
      <c r="D1284" s="26" t="str">
        <f>TRIM(INDEX(Orçamentária!C:C,MATCH(Composições!A1284,Orçamentária!A:A,0),1))</f>
        <v>un</v>
      </c>
      <c r="E1284" s="27"/>
      <c r="F1284" s="42" t="s">
        <v>572</v>
      </c>
      <c r="G1284" s="28" t="str">
        <f t="shared" si="21"/>
        <v/>
      </c>
      <c r="H1284" s="29"/>
      <c r="I1284" s="30"/>
      <c r="J1284" s="156">
        <v>0</v>
      </c>
    </row>
    <row r="1285" spans="1:10" ht="15.75" hidden="1" thickBot="1" x14ac:dyDescent="0.3">
      <c r="A1285" s="222"/>
      <c r="B1285" s="225"/>
      <c r="C1285" s="32"/>
      <c r="D1285" s="32"/>
      <c r="E1285" s="33"/>
      <c r="F1285" s="43" t="s">
        <v>572</v>
      </c>
      <c r="G1285" s="31" t="str">
        <f t="shared" si="21"/>
        <v/>
      </c>
      <c r="H1285" s="35"/>
      <c r="I1285" s="31"/>
      <c r="J1285" s="156">
        <v>0</v>
      </c>
    </row>
    <row r="1286" spans="1:10" ht="26.25" hidden="1" thickBot="1" x14ac:dyDescent="0.3">
      <c r="A1286" s="222"/>
      <c r="B1286" s="225"/>
      <c r="C1286" s="36" t="s">
        <v>441</v>
      </c>
      <c r="D1286" s="47" t="s">
        <v>150</v>
      </c>
      <c r="E1286" s="37">
        <v>1</v>
      </c>
      <c r="F1286" s="34" t="s">
        <v>572</v>
      </c>
      <c r="G1286" s="34" t="str">
        <f t="shared" si="21"/>
        <v/>
      </c>
      <c r="H1286" s="39">
        <f>SUM(G1286:G1289)</f>
        <v>40.222999999999999</v>
      </c>
      <c r="I1286" s="40"/>
      <c r="J1286" s="156">
        <v>0</v>
      </c>
    </row>
    <row r="1287" spans="1:10" ht="26.25" hidden="1" thickBot="1" x14ac:dyDescent="0.3">
      <c r="A1287" s="222"/>
      <c r="B1287" s="225"/>
      <c r="C1287" s="36" t="s">
        <v>439</v>
      </c>
      <c r="D1287" s="47" t="s">
        <v>299</v>
      </c>
      <c r="E1287" s="37">
        <v>6</v>
      </c>
      <c r="F1287" s="34">
        <v>0.30399999999999999</v>
      </c>
      <c r="G1287" s="34">
        <f t="shared" si="21"/>
        <v>1.8239999999999998</v>
      </c>
      <c r="H1287" s="35"/>
      <c r="I1287" s="31"/>
      <c r="J1287" s="156">
        <v>0</v>
      </c>
    </row>
    <row r="1288" spans="1:10" ht="15.75" hidden="1" thickBot="1" x14ac:dyDescent="0.3">
      <c r="A1288" s="222"/>
      <c r="B1288" s="225"/>
      <c r="C1288" s="36" t="s">
        <v>22</v>
      </c>
      <c r="D1288" s="36" t="s">
        <v>12</v>
      </c>
      <c r="E1288" s="37">
        <v>1</v>
      </c>
      <c r="F1288" s="31">
        <v>22.087499999999999</v>
      </c>
      <c r="G1288" s="34">
        <f t="shared" si="21"/>
        <v>22.087499999999999</v>
      </c>
      <c r="H1288" s="35"/>
      <c r="I1288" s="31"/>
      <c r="J1288" s="156">
        <v>0</v>
      </c>
    </row>
    <row r="1289" spans="1:10" ht="15.75" hidden="1" thickBot="1" x14ac:dyDescent="0.3">
      <c r="A1289" s="222"/>
      <c r="B1289" s="225"/>
      <c r="C1289" s="36" t="s">
        <v>23</v>
      </c>
      <c r="D1289" s="36" t="s">
        <v>12</v>
      </c>
      <c r="E1289" s="37">
        <v>1</v>
      </c>
      <c r="F1289" s="31">
        <v>16.311500000000002</v>
      </c>
      <c r="G1289" s="34">
        <f t="shared" si="21"/>
        <v>16.311500000000002</v>
      </c>
      <c r="H1289" s="35"/>
      <c r="I1289" s="31"/>
      <c r="J1289" s="156">
        <v>0</v>
      </c>
    </row>
    <row r="1290" spans="1:10" ht="15.75" hidden="1" thickBot="1" x14ac:dyDescent="0.3">
      <c r="A1290" s="223"/>
      <c r="B1290" s="226"/>
      <c r="C1290" s="36"/>
      <c r="D1290" s="36"/>
      <c r="E1290" s="37"/>
      <c r="F1290" s="31" t="s">
        <v>572</v>
      </c>
      <c r="G1290" s="31" t="str">
        <f t="shared" si="21"/>
        <v/>
      </c>
      <c r="H1290" s="35"/>
      <c r="I1290" s="31"/>
      <c r="J1290" s="156">
        <v>0</v>
      </c>
    </row>
    <row r="1291" spans="1:10" ht="15.75" hidden="1" thickBot="1" x14ac:dyDescent="0.3">
      <c r="A1291" s="221" t="s">
        <v>442</v>
      </c>
      <c r="B1291" s="224" t="str">
        <f>INDEX(Orçamentária!A:B,MATCH(Composições!A1291,Orçamentária!A:A,0),2)</f>
        <v>Barra de apoio 80cm – Linha Acessibilidade</v>
      </c>
      <c r="C1291" s="41"/>
      <c r="D1291" s="26" t="str">
        <f>TRIM(INDEX(Orçamentária!C:C,MATCH(Composições!A1291,Orçamentária!A:A,0),1))</f>
        <v>un</v>
      </c>
      <c r="E1291" s="27"/>
      <c r="F1291" s="42" t="s">
        <v>572</v>
      </c>
      <c r="G1291" s="28" t="str">
        <f t="shared" si="21"/>
        <v/>
      </c>
      <c r="H1291" s="29"/>
      <c r="I1291" s="30"/>
      <c r="J1291" s="156">
        <v>0</v>
      </c>
    </row>
    <row r="1292" spans="1:10" ht="15.75" hidden="1" thickBot="1" x14ac:dyDescent="0.3">
      <c r="A1292" s="222"/>
      <c r="B1292" s="225"/>
      <c r="C1292" s="32"/>
      <c r="D1292" s="32"/>
      <c r="E1292" s="33"/>
      <c r="F1292" s="43" t="s">
        <v>572</v>
      </c>
      <c r="G1292" s="31" t="str">
        <f t="shared" si="21"/>
        <v/>
      </c>
      <c r="H1292" s="35"/>
      <c r="I1292" s="31"/>
      <c r="J1292" s="156">
        <v>0</v>
      </c>
    </row>
    <row r="1293" spans="1:10" ht="26.25" hidden="1" thickBot="1" x14ac:dyDescent="0.3">
      <c r="A1293" s="222"/>
      <c r="B1293" s="225"/>
      <c r="C1293" s="36" t="s">
        <v>443</v>
      </c>
      <c r="D1293" s="47" t="s">
        <v>150</v>
      </c>
      <c r="E1293" s="37">
        <v>1</v>
      </c>
      <c r="F1293" s="34" t="s">
        <v>572</v>
      </c>
      <c r="G1293" s="34" t="str">
        <f t="shared" si="21"/>
        <v/>
      </c>
      <c r="H1293" s="39">
        <f>SUM(G1293:G1296)</f>
        <v>40.222999999999999</v>
      </c>
      <c r="I1293" s="40"/>
      <c r="J1293" s="156">
        <v>0</v>
      </c>
    </row>
    <row r="1294" spans="1:10" ht="26.25" hidden="1" thickBot="1" x14ac:dyDescent="0.3">
      <c r="A1294" s="222"/>
      <c r="B1294" s="225"/>
      <c r="C1294" s="36" t="s">
        <v>439</v>
      </c>
      <c r="D1294" s="47" t="s">
        <v>299</v>
      </c>
      <c r="E1294" s="37">
        <v>6</v>
      </c>
      <c r="F1294" s="34">
        <v>0.30399999999999999</v>
      </c>
      <c r="G1294" s="34">
        <f t="shared" si="21"/>
        <v>1.8239999999999998</v>
      </c>
      <c r="H1294" s="35"/>
      <c r="I1294" s="31"/>
      <c r="J1294" s="156">
        <v>0</v>
      </c>
    </row>
    <row r="1295" spans="1:10" ht="15.75" hidden="1" thickBot="1" x14ac:dyDescent="0.3">
      <c r="A1295" s="222"/>
      <c r="B1295" s="225"/>
      <c r="C1295" s="36" t="s">
        <v>22</v>
      </c>
      <c r="D1295" s="36" t="s">
        <v>12</v>
      </c>
      <c r="E1295" s="37">
        <v>1</v>
      </c>
      <c r="F1295" s="31">
        <v>22.087499999999999</v>
      </c>
      <c r="G1295" s="34">
        <f t="shared" si="21"/>
        <v>22.087499999999999</v>
      </c>
      <c r="H1295" s="35"/>
      <c r="I1295" s="31"/>
      <c r="J1295" s="156">
        <v>0</v>
      </c>
    </row>
    <row r="1296" spans="1:10" ht="15.75" hidden="1" thickBot="1" x14ac:dyDescent="0.3">
      <c r="A1296" s="222"/>
      <c r="B1296" s="225"/>
      <c r="C1296" s="36" t="s">
        <v>23</v>
      </c>
      <c r="D1296" s="36" t="s">
        <v>12</v>
      </c>
      <c r="E1296" s="37">
        <v>1</v>
      </c>
      <c r="F1296" s="31">
        <v>16.311500000000002</v>
      </c>
      <c r="G1296" s="34">
        <f t="shared" si="21"/>
        <v>16.311500000000002</v>
      </c>
      <c r="H1296" s="35"/>
      <c r="I1296" s="31"/>
      <c r="J1296" s="156">
        <v>0</v>
      </c>
    </row>
    <row r="1297" spans="1:10" ht="15.75" hidden="1" thickBot="1" x14ac:dyDescent="0.3">
      <c r="A1297" s="223"/>
      <c r="B1297" s="226"/>
      <c r="C1297" s="36"/>
      <c r="D1297" s="36"/>
      <c r="E1297" s="37"/>
      <c r="F1297" s="31" t="s">
        <v>572</v>
      </c>
      <c r="G1297" s="31" t="str">
        <f t="shared" si="21"/>
        <v/>
      </c>
      <c r="H1297" s="35"/>
      <c r="I1297" s="31"/>
      <c r="J1297" s="156">
        <v>0</v>
      </c>
    </row>
    <row r="1298" spans="1:10" ht="15.75" hidden="1" thickBot="1" x14ac:dyDescent="0.3">
      <c r="A1298" s="221" t="s">
        <v>444</v>
      </c>
      <c r="B1298" s="224" t="str">
        <f>INDEX(Orçamentária!A:B,MATCH(Composições!A1298,Orçamentária!A:A,0),2)</f>
        <v>Barra de apoio lateral fixa 30cm – Linha Acessibilidade</v>
      </c>
      <c r="C1298" s="41"/>
      <c r="D1298" s="26" t="str">
        <f>TRIM(INDEX(Orçamentária!C:C,MATCH(Composições!A1298,Orçamentária!A:A,0),1))</f>
        <v>un</v>
      </c>
      <c r="E1298" s="27"/>
      <c r="F1298" s="42" t="s">
        <v>572</v>
      </c>
      <c r="G1298" s="28" t="str">
        <f t="shared" si="21"/>
        <v/>
      </c>
      <c r="H1298" s="29"/>
      <c r="I1298" s="30"/>
      <c r="J1298" s="156">
        <v>0</v>
      </c>
    </row>
    <row r="1299" spans="1:10" ht="15.75" hidden="1" thickBot="1" x14ac:dyDescent="0.3">
      <c r="A1299" s="222"/>
      <c r="B1299" s="225"/>
      <c r="C1299" s="32"/>
      <c r="D1299" s="32"/>
      <c r="E1299" s="33"/>
      <c r="F1299" s="43" t="s">
        <v>572</v>
      </c>
      <c r="G1299" s="31" t="str">
        <f t="shared" si="21"/>
        <v/>
      </c>
      <c r="H1299" s="35"/>
      <c r="I1299" s="31"/>
      <c r="J1299" s="156">
        <v>0</v>
      </c>
    </row>
    <row r="1300" spans="1:10" ht="15.75" hidden="1" thickBot="1" x14ac:dyDescent="0.3">
      <c r="A1300" s="222"/>
      <c r="B1300" s="225"/>
      <c r="C1300" s="36" t="s">
        <v>22</v>
      </c>
      <c r="D1300" s="36" t="s">
        <v>12</v>
      </c>
      <c r="E1300" s="37">
        <v>1</v>
      </c>
      <c r="F1300" s="31">
        <v>22.087499999999999</v>
      </c>
      <c r="G1300" s="34">
        <f t="shared" si="21"/>
        <v>22.087499999999999</v>
      </c>
      <c r="H1300" s="39">
        <f>SUM(G1300:G1303)</f>
        <v>40.222999999999999</v>
      </c>
      <c r="I1300" s="40"/>
      <c r="J1300" s="156">
        <v>0</v>
      </c>
    </row>
    <row r="1301" spans="1:10" ht="15.75" hidden="1" thickBot="1" x14ac:dyDescent="0.3">
      <c r="A1301" s="222"/>
      <c r="B1301" s="225"/>
      <c r="C1301" s="36" t="s">
        <v>23</v>
      </c>
      <c r="D1301" s="36" t="s">
        <v>12</v>
      </c>
      <c r="E1301" s="37">
        <v>1</v>
      </c>
      <c r="F1301" s="31">
        <v>16.311500000000002</v>
      </c>
      <c r="G1301" s="34">
        <f t="shared" ref="G1301:G1364" si="22">IF(ISNUMBER(F1301),E1301*F1301,"")</f>
        <v>16.311500000000002</v>
      </c>
      <c r="H1301" s="35"/>
      <c r="I1301" s="31"/>
      <c r="J1301" s="156">
        <v>0</v>
      </c>
    </row>
    <row r="1302" spans="1:10" ht="26.25" hidden="1" thickBot="1" x14ac:dyDescent="0.3">
      <c r="A1302" s="222"/>
      <c r="B1302" s="225"/>
      <c r="C1302" s="36" t="s">
        <v>445</v>
      </c>
      <c r="D1302" s="36" t="s">
        <v>20</v>
      </c>
      <c r="E1302" s="37">
        <v>1</v>
      </c>
      <c r="F1302" s="34" t="s">
        <v>572</v>
      </c>
      <c r="G1302" s="31" t="str">
        <f t="shared" si="22"/>
        <v/>
      </c>
      <c r="H1302" s="35"/>
      <c r="I1302" s="31"/>
      <c r="J1302" s="156">
        <v>0</v>
      </c>
    </row>
    <row r="1303" spans="1:10" ht="26.25" hidden="1" thickBot="1" x14ac:dyDescent="0.3">
      <c r="A1303" s="222"/>
      <c r="B1303" s="225"/>
      <c r="C1303" s="36" t="s">
        <v>439</v>
      </c>
      <c r="D1303" s="47" t="s">
        <v>299</v>
      </c>
      <c r="E1303" s="37">
        <v>6</v>
      </c>
      <c r="F1303" s="34">
        <v>0.30399999999999999</v>
      </c>
      <c r="G1303" s="34">
        <f t="shared" si="22"/>
        <v>1.8239999999999998</v>
      </c>
      <c r="H1303" s="35"/>
      <c r="I1303" s="31"/>
      <c r="J1303" s="156">
        <v>0</v>
      </c>
    </row>
    <row r="1304" spans="1:10" ht="15.75" hidden="1" thickBot="1" x14ac:dyDescent="0.3">
      <c r="A1304" s="223"/>
      <c r="B1304" s="226"/>
      <c r="C1304" s="36"/>
      <c r="D1304" s="36"/>
      <c r="E1304" s="37"/>
      <c r="F1304" s="31" t="s">
        <v>572</v>
      </c>
      <c r="G1304" s="31" t="str">
        <f t="shared" si="22"/>
        <v/>
      </c>
      <c r="H1304" s="35"/>
      <c r="I1304" s="31"/>
      <c r="J1304" s="156">
        <v>0</v>
      </c>
    </row>
    <row r="1305" spans="1:10" ht="15.75" hidden="1" thickBot="1" x14ac:dyDescent="0.3">
      <c r="A1305" s="221" t="s">
        <v>446</v>
      </c>
      <c r="B1305" s="224" t="str">
        <f>INDEX(Orçamentária!A:B,MATCH(Composições!A1305,Orçamentária!A:A,0),2)</f>
        <v>Lavatório suspenso – Linha Acessibilidade</v>
      </c>
      <c r="C1305" s="41"/>
      <c r="D1305" s="26" t="str">
        <f>TRIM(INDEX(Orçamentária!C:C,MATCH(Composições!A1305,Orçamentária!A:A,0),1))</f>
        <v>un</v>
      </c>
      <c r="E1305" s="27"/>
      <c r="F1305" s="42" t="s">
        <v>572</v>
      </c>
      <c r="G1305" s="28" t="str">
        <f t="shared" si="22"/>
        <v/>
      </c>
      <c r="H1305" s="29"/>
      <c r="I1305" s="30"/>
      <c r="J1305" s="156">
        <v>0</v>
      </c>
    </row>
    <row r="1306" spans="1:10" ht="15.75" hidden="1" thickBot="1" x14ac:dyDescent="0.3">
      <c r="A1306" s="222"/>
      <c r="B1306" s="225"/>
      <c r="C1306" s="32"/>
      <c r="D1306" s="32"/>
      <c r="E1306" s="33"/>
      <c r="F1306" s="43" t="s">
        <v>572</v>
      </c>
      <c r="G1306" s="31" t="str">
        <f t="shared" si="22"/>
        <v/>
      </c>
      <c r="H1306" s="35"/>
      <c r="I1306" s="31"/>
      <c r="J1306" s="156">
        <v>0</v>
      </c>
    </row>
    <row r="1307" spans="1:10" ht="26.25" hidden="1" thickBot="1" x14ac:dyDescent="0.3">
      <c r="A1307" s="222"/>
      <c r="B1307" s="225"/>
      <c r="C1307" s="36" t="s">
        <v>447</v>
      </c>
      <c r="D1307" s="47" t="s">
        <v>150</v>
      </c>
      <c r="E1307" s="37">
        <v>1</v>
      </c>
      <c r="F1307" s="34" t="s">
        <v>572</v>
      </c>
      <c r="G1307" s="34" t="str">
        <f t="shared" si="22"/>
        <v/>
      </c>
      <c r="H1307" s="39">
        <f>SUM(G1307:G1311)</f>
        <v>29.296234899999998</v>
      </c>
      <c r="I1307" s="40"/>
      <c r="J1307" s="156">
        <v>0</v>
      </c>
    </row>
    <row r="1308" spans="1:10" ht="26.25" hidden="1" thickBot="1" x14ac:dyDescent="0.3">
      <c r="A1308" s="222"/>
      <c r="B1308" s="225"/>
      <c r="C1308" s="36" t="s">
        <v>378</v>
      </c>
      <c r="D1308" s="47" t="s">
        <v>299</v>
      </c>
      <c r="E1308" s="37">
        <v>2</v>
      </c>
      <c r="F1308" s="34">
        <v>8.1225000000000005</v>
      </c>
      <c r="G1308" s="34">
        <f t="shared" si="22"/>
        <v>16.245000000000001</v>
      </c>
      <c r="H1308" s="35"/>
      <c r="I1308" s="31"/>
      <c r="J1308" s="156">
        <v>0</v>
      </c>
    </row>
    <row r="1309" spans="1:10" ht="15.75" hidden="1" thickBot="1" x14ac:dyDescent="0.3">
      <c r="A1309" s="222"/>
      <c r="B1309" s="225"/>
      <c r="C1309" s="36" t="s">
        <v>3625</v>
      </c>
      <c r="D1309" s="47" t="s">
        <v>42</v>
      </c>
      <c r="E1309" s="37">
        <v>3.04E-2</v>
      </c>
      <c r="F1309" s="34">
        <v>52.8675</v>
      </c>
      <c r="G1309" s="34">
        <f t="shared" si="22"/>
        <v>1.607172</v>
      </c>
      <c r="H1309" s="35"/>
      <c r="I1309" s="31"/>
      <c r="J1309" s="156">
        <v>0</v>
      </c>
    </row>
    <row r="1310" spans="1:10" ht="15.75" hidden="1" thickBot="1" x14ac:dyDescent="0.3">
      <c r="A1310" s="222"/>
      <c r="B1310" s="225"/>
      <c r="C1310" s="36" t="s">
        <v>39</v>
      </c>
      <c r="D1310" s="47" t="s">
        <v>12</v>
      </c>
      <c r="E1310" s="37">
        <v>0.38700000000000001</v>
      </c>
      <c r="F1310" s="31">
        <v>21.622</v>
      </c>
      <c r="G1310" s="34">
        <f t="shared" si="22"/>
        <v>8.3677139999999994</v>
      </c>
      <c r="H1310" s="35"/>
      <c r="I1310" s="31"/>
      <c r="J1310" s="156">
        <v>0</v>
      </c>
    </row>
    <row r="1311" spans="1:10" ht="15.75" hidden="1" thickBot="1" x14ac:dyDescent="0.3">
      <c r="A1311" s="222"/>
      <c r="B1311" s="225"/>
      <c r="C1311" s="36" t="s">
        <v>23</v>
      </c>
      <c r="D1311" s="47" t="s">
        <v>12</v>
      </c>
      <c r="E1311" s="37">
        <v>0.18859999999999999</v>
      </c>
      <c r="F1311" s="31">
        <v>16.311500000000002</v>
      </c>
      <c r="G1311" s="34">
        <f t="shared" si="22"/>
        <v>3.0763489000000002</v>
      </c>
      <c r="H1311" s="35"/>
      <c r="I1311" s="31"/>
      <c r="J1311" s="156">
        <v>0</v>
      </c>
    </row>
    <row r="1312" spans="1:10" ht="15.75" hidden="1" thickBot="1" x14ac:dyDescent="0.3">
      <c r="A1312" s="223"/>
      <c r="B1312" s="226"/>
      <c r="C1312" s="36"/>
      <c r="D1312" s="36"/>
      <c r="E1312" s="37"/>
      <c r="F1312" s="31" t="s">
        <v>572</v>
      </c>
      <c r="G1312" s="31" t="str">
        <f t="shared" si="22"/>
        <v/>
      </c>
      <c r="H1312" s="35"/>
      <c r="I1312" s="31"/>
      <c r="J1312" s="156">
        <v>0</v>
      </c>
    </row>
    <row r="1313" spans="1:10" ht="15.75" hidden="1" thickBot="1" x14ac:dyDescent="0.3">
      <c r="A1313" s="221" t="s">
        <v>448</v>
      </c>
      <c r="B1313" s="224" t="str">
        <f>INDEX(Orçamentária!A:B,MATCH(Composições!A1313,Orçamentária!A:A,0),2)</f>
        <v>Lavatório suspenso com Coluna – Linha Acessibilidade</v>
      </c>
      <c r="C1313" s="41"/>
      <c r="D1313" s="26" t="str">
        <f>TRIM(INDEX(Orçamentária!C:C,MATCH(Composições!A1313,Orçamentária!A:A,0),1))</f>
        <v>un</v>
      </c>
      <c r="E1313" s="27"/>
      <c r="F1313" s="42" t="s">
        <v>572</v>
      </c>
      <c r="G1313" s="28" t="str">
        <f t="shared" si="22"/>
        <v/>
      </c>
      <c r="H1313" s="29"/>
      <c r="I1313" s="30"/>
      <c r="J1313" s="156">
        <v>0</v>
      </c>
    </row>
    <row r="1314" spans="1:10" ht="15.75" hidden="1" thickBot="1" x14ac:dyDescent="0.3">
      <c r="A1314" s="222"/>
      <c r="B1314" s="225"/>
      <c r="C1314" s="32"/>
      <c r="D1314" s="32"/>
      <c r="E1314" s="33"/>
      <c r="F1314" s="43" t="s">
        <v>572</v>
      </c>
      <c r="G1314" s="31" t="str">
        <f t="shared" si="22"/>
        <v/>
      </c>
      <c r="H1314" s="35"/>
      <c r="I1314" s="31"/>
      <c r="J1314" s="156">
        <v>0</v>
      </c>
    </row>
    <row r="1315" spans="1:10" ht="15.75" hidden="1" thickBot="1" x14ac:dyDescent="0.3">
      <c r="A1315" s="222"/>
      <c r="B1315" s="225"/>
      <c r="C1315" s="36" t="s">
        <v>39</v>
      </c>
      <c r="D1315" s="47" t="s">
        <v>12</v>
      </c>
      <c r="E1315" s="37">
        <v>1.4666999999999999</v>
      </c>
      <c r="F1315" s="31">
        <v>21.622</v>
      </c>
      <c r="G1315" s="34">
        <f t="shared" si="22"/>
        <v>31.712987399999996</v>
      </c>
      <c r="H1315" s="39">
        <f>SUM(G1315:G1320)</f>
        <v>95.656517449999996</v>
      </c>
      <c r="I1315" s="40"/>
      <c r="J1315" s="156">
        <v>0</v>
      </c>
    </row>
    <row r="1316" spans="1:10" ht="15.75" hidden="1" thickBot="1" x14ac:dyDescent="0.3">
      <c r="A1316" s="222"/>
      <c r="B1316" s="225"/>
      <c r="C1316" s="36" t="s">
        <v>23</v>
      </c>
      <c r="D1316" s="47" t="s">
        <v>12</v>
      </c>
      <c r="E1316" s="37">
        <v>0.65169999999999995</v>
      </c>
      <c r="F1316" s="31">
        <v>16.311500000000002</v>
      </c>
      <c r="G1316" s="34">
        <f t="shared" si="22"/>
        <v>10.63020455</v>
      </c>
      <c r="H1316" s="35"/>
      <c r="I1316" s="31"/>
      <c r="J1316" s="156">
        <v>0</v>
      </c>
    </row>
    <row r="1317" spans="1:10" ht="26.25" hidden="1" thickBot="1" x14ac:dyDescent="0.3">
      <c r="A1317" s="222"/>
      <c r="B1317" s="225"/>
      <c r="C1317" s="36" t="s">
        <v>447</v>
      </c>
      <c r="D1317" s="47" t="s">
        <v>150</v>
      </c>
      <c r="E1317" s="37">
        <v>1</v>
      </c>
      <c r="F1317" s="34" t="s">
        <v>572</v>
      </c>
      <c r="G1317" s="34" t="str">
        <f t="shared" si="22"/>
        <v/>
      </c>
      <c r="H1317" s="35"/>
      <c r="I1317" s="31"/>
      <c r="J1317" s="156">
        <v>0</v>
      </c>
    </row>
    <row r="1318" spans="1:10" ht="26.25" hidden="1" thickBot="1" x14ac:dyDescent="0.3">
      <c r="A1318" s="222"/>
      <c r="B1318" s="225"/>
      <c r="C1318" s="36" t="s">
        <v>378</v>
      </c>
      <c r="D1318" s="47" t="s">
        <v>299</v>
      </c>
      <c r="E1318" s="37">
        <v>6</v>
      </c>
      <c r="F1318" s="34">
        <v>8.1225000000000005</v>
      </c>
      <c r="G1318" s="34">
        <f t="shared" si="22"/>
        <v>48.734999999999999</v>
      </c>
      <c r="H1318" s="35"/>
      <c r="I1318" s="31"/>
      <c r="J1318" s="156">
        <v>0</v>
      </c>
    </row>
    <row r="1319" spans="1:10" ht="15.75" hidden="1" thickBot="1" x14ac:dyDescent="0.3">
      <c r="A1319" s="222"/>
      <c r="B1319" s="225"/>
      <c r="C1319" s="36" t="s">
        <v>3625</v>
      </c>
      <c r="D1319" s="47" t="s">
        <v>42</v>
      </c>
      <c r="E1319" s="37">
        <v>8.6599999999999996E-2</v>
      </c>
      <c r="F1319" s="34">
        <v>52.8675</v>
      </c>
      <c r="G1319" s="34">
        <f t="shared" si="22"/>
        <v>4.5783255</v>
      </c>
      <c r="H1319" s="35"/>
      <c r="I1319" s="31"/>
      <c r="J1319" s="156">
        <v>0</v>
      </c>
    </row>
    <row r="1320" spans="1:10" ht="26.25" hidden="1" thickBot="1" x14ac:dyDescent="0.3">
      <c r="A1320" s="222"/>
      <c r="B1320" s="225"/>
      <c r="C1320" s="36" t="s">
        <v>449</v>
      </c>
      <c r="D1320" s="36" t="s">
        <v>20</v>
      </c>
      <c r="E1320" s="37">
        <v>1</v>
      </c>
      <c r="F1320" s="34" t="s">
        <v>572</v>
      </c>
      <c r="G1320" s="31" t="str">
        <f t="shared" si="22"/>
        <v/>
      </c>
      <c r="H1320" s="35"/>
      <c r="I1320" s="31"/>
      <c r="J1320" s="156">
        <v>0</v>
      </c>
    </row>
    <row r="1321" spans="1:10" ht="15.75" hidden="1" thickBot="1" x14ac:dyDescent="0.3">
      <c r="A1321" s="222"/>
      <c r="B1321" s="225"/>
      <c r="C1321" s="36"/>
      <c r="D1321" s="36"/>
      <c r="E1321" s="37"/>
      <c r="F1321" s="34" t="s">
        <v>572</v>
      </c>
      <c r="G1321" s="31" t="str">
        <f t="shared" si="22"/>
        <v/>
      </c>
      <c r="H1321" s="35"/>
      <c r="I1321" s="31"/>
      <c r="J1321" s="156">
        <v>0</v>
      </c>
    </row>
    <row r="1322" spans="1:10" ht="15.75" hidden="1" thickBot="1" x14ac:dyDescent="0.3">
      <c r="A1322" s="221" t="s">
        <v>450</v>
      </c>
      <c r="B1322" s="224" t="str">
        <f>INDEX(Orçamentária!A:B,MATCH(Composições!A1322,Orçamentária!A:A,0),2)</f>
        <v>Cabide – Linha Administrativa</v>
      </c>
      <c r="C1322" s="41"/>
      <c r="D1322" s="26" t="str">
        <f>TRIM(INDEX(Orçamentária!C:C,MATCH(Composições!A1322,Orçamentária!A:A,0),1))</f>
        <v>un</v>
      </c>
      <c r="E1322" s="27"/>
      <c r="F1322" s="42" t="s">
        <v>572</v>
      </c>
      <c r="G1322" s="28" t="str">
        <f t="shared" si="22"/>
        <v/>
      </c>
      <c r="H1322" s="29"/>
      <c r="I1322" s="30"/>
      <c r="J1322" s="156">
        <v>0</v>
      </c>
    </row>
    <row r="1323" spans="1:10" ht="15.75" hidden="1" thickBot="1" x14ac:dyDescent="0.3">
      <c r="A1323" s="222"/>
      <c r="B1323" s="225"/>
      <c r="C1323" s="32"/>
      <c r="D1323" s="32"/>
      <c r="E1323" s="33"/>
      <c r="F1323" s="43" t="s">
        <v>572</v>
      </c>
      <c r="G1323" s="31" t="str">
        <f t="shared" si="22"/>
        <v/>
      </c>
      <c r="H1323" s="35"/>
      <c r="I1323" s="31"/>
      <c r="J1323" s="156">
        <v>0</v>
      </c>
    </row>
    <row r="1324" spans="1:10" ht="15.75" hidden="1" thickBot="1" x14ac:dyDescent="0.3">
      <c r="A1324" s="222"/>
      <c r="B1324" s="225"/>
      <c r="C1324" s="36" t="s">
        <v>451</v>
      </c>
      <c r="D1324" s="47" t="s">
        <v>150</v>
      </c>
      <c r="E1324" s="37">
        <v>1</v>
      </c>
      <c r="F1324" s="34" t="s">
        <v>572</v>
      </c>
      <c r="G1324" s="34" t="str">
        <f t="shared" si="22"/>
        <v/>
      </c>
      <c r="H1324" s="39">
        <f>SUM(G1324:G1325)</f>
        <v>3.8883519</v>
      </c>
      <c r="I1324" s="40"/>
      <c r="J1324" s="156">
        <v>0</v>
      </c>
    </row>
    <row r="1325" spans="1:10" ht="26.25" hidden="1" thickBot="1" x14ac:dyDescent="0.3">
      <c r="A1325" s="222"/>
      <c r="B1325" s="225"/>
      <c r="C1325" s="36" t="s">
        <v>452</v>
      </c>
      <c r="D1325" s="47" t="s">
        <v>299</v>
      </c>
      <c r="E1325" s="37">
        <v>1</v>
      </c>
      <c r="F1325" s="34">
        <v>3.8883519</v>
      </c>
      <c r="G1325" s="34">
        <f t="shared" si="22"/>
        <v>3.8883519</v>
      </c>
      <c r="H1325" s="35"/>
      <c r="I1325" s="31"/>
      <c r="J1325" s="156">
        <v>0</v>
      </c>
    </row>
    <row r="1326" spans="1:10" ht="15.75" hidden="1" thickBot="1" x14ac:dyDescent="0.3">
      <c r="A1326" s="223"/>
      <c r="B1326" s="226"/>
      <c r="C1326" s="36"/>
      <c r="D1326" s="36"/>
      <c r="E1326" s="37"/>
      <c r="F1326" s="31" t="s">
        <v>572</v>
      </c>
      <c r="G1326" s="31" t="str">
        <f t="shared" si="22"/>
        <v/>
      </c>
      <c r="H1326" s="35"/>
      <c r="I1326" s="31"/>
      <c r="J1326" s="156">
        <v>0</v>
      </c>
    </row>
    <row r="1327" spans="1:10" ht="15.75" hidden="1" thickBot="1" x14ac:dyDescent="0.3">
      <c r="A1327" s="221" t="s">
        <v>453</v>
      </c>
      <c r="B1327" s="224" t="str">
        <f>INDEX(Orçamentária!A:B,MATCH(Composições!A1327,Orçamentária!A:A,0),2)</f>
        <v>Papeleira – Linha Administrativa</v>
      </c>
      <c r="C1327" s="41"/>
      <c r="D1327" s="26" t="str">
        <f>TRIM(INDEX(Orçamentária!C:C,MATCH(Composições!A1327,Orçamentária!A:A,0),1))</f>
        <v>un</v>
      </c>
      <c r="E1327" s="27"/>
      <c r="F1327" s="42" t="s">
        <v>572</v>
      </c>
      <c r="G1327" s="28" t="str">
        <f t="shared" si="22"/>
        <v/>
      </c>
      <c r="H1327" s="29"/>
      <c r="I1327" s="30"/>
      <c r="J1327" s="156">
        <v>0</v>
      </c>
    </row>
    <row r="1328" spans="1:10" ht="15.75" hidden="1" thickBot="1" x14ac:dyDescent="0.3">
      <c r="A1328" s="222"/>
      <c r="B1328" s="225"/>
      <c r="C1328" s="32"/>
      <c r="D1328" s="32"/>
      <c r="E1328" s="33"/>
      <c r="F1328" s="43" t="s">
        <v>572</v>
      </c>
      <c r="G1328" s="31" t="str">
        <f t="shared" si="22"/>
        <v/>
      </c>
      <c r="H1328" s="35"/>
      <c r="I1328" s="31"/>
      <c r="J1328" s="156">
        <v>0</v>
      </c>
    </row>
    <row r="1329" spans="1:10" ht="15.75" hidden="1" thickBot="1" x14ac:dyDescent="0.3">
      <c r="A1329" s="222"/>
      <c r="B1329" s="225"/>
      <c r="C1329" s="36" t="s">
        <v>454</v>
      </c>
      <c r="D1329" s="47" t="s">
        <v>150</v>
      </c>
      <c r="E1329" s="37">
        <v>1</v>
      </c>
      <c r="F1329" s="34" t="s">
        <v>572</v>
      </c>
      <c r="G1329" s="34" t="str">
        <f t="shared" si="22"/>
        <v/>
      </c>
      <c r="H1329" s="39">
        <f>SUM(G1329:G1331)</f>
        <v>8.4615018000000006</v>
      </c>
      <c r="I1329" s="40"/>
      <c r="J1329" s="156">
        <v>0</v>
      </c>
    </row>
    <row r="1330" spans="1:10" ht="15.75" hidden="1" thickBot="1" x14ac:dyDescent="0.3">
      <c r="A1330" s="222"/>
      <c r="B1330" s="225"/>
      <c r="C1330" s="36" t="s">
        <v>39</v>
      </c>
      <c r="D1330" s="47" t="s">
        <v>12</v>
      </c>
      <c r="E1330" s="37">
        <v>0.31619999999999998</v>
      </c>
      <c r="F1330" s="31">
        <v>21.622</v>
      </c>
      <c r="G1330" s="34">
        <f t="shared" si="22"/>
        <v>6.8368763999999995</v>
      </c>
      <c r="H1330" s="35"/>
      <c r="I1330" s="31"/>
      <c r="J1330" s="156">
        <v>0</v>
      </c>
    </row>
    <row r="1331" spans="1:10" ht="15.75" hidden="1" thickBot="1" x14ac:dyDescent="0.3">
      <c r="A1331" s="222"/>
      <c r="B1331" s="225"/>
      <c r="C1331" s="36" t="s">
        <v>23</v>
      </c>
      <c r="D1331" s="47" t="s">
        <v>12</v>
      </c>
      <c r="E1331" s="37">
        <v>9.9599999999999994E-2</v>
      </c>
      <c r="F1331" s="31">
        <v>16.311500000000002</v>
      </c>
      <c r="G1331" s="34">
        <f t="shared" si="22"/>
        <v>1.6246254000000002</v>
      </c>
      <c r="H1331" s="35"/>
      <c r="I1331" s="31"/>
      <c r="J1331" s="156">
        <v>0</v>
      </c>
    </row>
    <row r="1332" spans="1:10" ht="15.75" hidden="1" thickBot="1" x14ac:dyDescent="0.3">
      <c r="A1332" s="223"/>
      <c r="B1332" s="226"/>
      <c r="C1332" s="36"/>
      <c r="D1332" s="36"/>
      <c r="E1332" s="37"/>
      <c r="F1332" s="31" t="s">
        <v>572</v>
      </c>
      <c r="G1332" s="31" t="str">
        <f t="shared" si="22"/>
        <v/>
      </c>
      <c r="H1332" s="35"/>
      <c r="I1332" s="31"/>
      <c r="J1332" s="156">
        <v>0</v>
      </c>
    </row>
    <row r="1333" spans="1:10" ht="15.75" hidden="1" thickBot="1" x14ac:dyDescent="0.3">
      <c r="A1333" s="221" t="s">
        <v>455</v>
      </c>
      <c r="B1333" s="224" t="str">
        <f>INDEX(Orçamentária!A:B,MATCH(Composições!A1333,Orçamentária!A:A,0),2)</f>
        <v>Porta toalha argola – Linha Administrativa</v>
      </c>
      <c r="C1333" s="41"/>
      <c r="D1333" s="26" t="str">
        <f>TRIM(INDEX(Orçamentária!C:C,MATCH(Composições!A1333,Orçamentária!A:A,0),1))</f>
        <v>un</v>
      </c>
      <c r="E1333" s="27"/>
      <c r="F1333" s="42" t="s">
        <v>572</v>
      </c>
      <c r="G1333" s="28" t="str">
        <f t="shared" si="22"/>
        <v/>
      </c>
      <c r="H1333" s="29"/>
      <c r="I1333" s="30"/>
      <c r="J1333" s="156">
        <v>0</v>
      </c>
    </row>
    <row r="1334" spans="1:10" ht="15.75" hidden="1" thickBot="1" x14ac:dyDescent="0.3">
      <c r="A1334" s="222"/>
      <c r="B1334" s="225"/>
      <c r="C1334" s="32"/>
      <c r="D1334" s="32"/>
      <c r="E1334" s="33"/>
      <c r="F1334" s="43" t="s">
        <v>572</v>
      </c>
      <c r="G1334" s="31" t="str">
        <f t="shared" si="22"/>
        <v/>
      </c>
      <c r="H1334" s="35"/>
      <c r="I1334" s="31"/>
      <c r="J1334" s="156">
        <v>0</v>
      </c>
    </row>
    <row r="1335" spans="1:10" ht="26.25" hidden="1" thickBot="1" x14ac:dyDescent="0.3">
      <c r="A1335" s="222"/>
      <c r="B1335" s="225"/>
      <c r="C1335" s="36" t="s">
        <v>456</v>
      </c>
      <c r="D1335" s="47" t="s">
        <v>150</v>
      </c>
      <c r="E1335" s="37">
        <v>1</v>
      </c>
      <c r="F1335" s="34" t="s">
        <v>572</v>
      </c>
      <c r="G1335" s="34" t="str">
        <f t="shared" si="22"/>
        <v/>
      </c>
      <c r="H1335" s="39">
        <f>SUM(G1335:G1337)</f>
        <v>8.4615018000000006</v>
      </c>
      <c r="I1335" s="40"/>
      <c r="J1335" s="156">
        <v>0</v>
      </c>
    </row>
    <row r="1336" spans="1:10" ht="15.75" hidden="1" thickBot="1" x14ac:dyDescent="0.3">
      <c r="A1336" s="222"/>
      <c r="B1336" s="225"/>
      <c r="C1336" s="36" t="s">
        <v>39</v>
      </c>
      <c r="D1336" s="47" t="s">
        <v>12</v>
      </c>
      <c r="E1336" s="37">
        <v>0.31619999999999998</v>
      </c>
      <c r="F1336" s="31">
        <v>21.622</v>
      </c>
      <c r="G1336" s="34">
        <f t="shared" si="22"/>
        <v>6.8368763999999995</v>
      </c>
      <c r="H1336" s="35"/>
      <c r="I1336" s="31"/>
      <c r="J1336" s="156">
        <v>0</v>
      </c>
    </row>
    <row r="1337" spans="1:10" ht="15.75" hidden="1" thickBot="1" x14ac:dyDescent="0.3">
      <c r="A1337" s="222"/>
      <c r="B1337" s="225"/>
      <c r="C1337" s="36" t="s">
        <v>23</v>
      </c>
      <c r="D1337" s="47" t="s">
        <v>12</v>
      </c>
      <c r="E1337" s="37">
        <v>9.9599999999999994E-2</v>
      </c>
      <c r="F1337" s="31">
        <v>16.311500000000002</v>
      </c>
      <c r="G1337" s="34">
        <f t="shared" si="22"/>
        <v>1.6246254000000002</v>
      </c>
      <c r="H1337" s="35"/>
      <c r="I1337" s="31"/>
      <c r="J1337" s="156">
        <v>0</v>
      </c>
    </row>
    <row r="1338" spans="1:10" ht="15.75" hidden="1" thickBot="1" x14ac:dyDescent="0.3">
      <c r="A1338" s="223"/>
      <c r="B1338" s="226"/>
      <c r="C1338" s="36"/>
      <c r="D1338" s="36"/>
      <c r="E1338" s="37"/>
      <c r="F1338" s="31" t="s">
        <v>572</v>
      </c>
      <c r="G1338" s="31" t="str">
        <f t="shared" si="22"/>
        <v/>
      </c>
      <c r="H1338" s="35"/>
      <c r="I1338" s="31"/>
      <c r="J1338" s="156">
        <v>0</v>
      </c>
    </row>
    <row r="1339" spans="1:10" ht="15.75" hidden="1" thickBot="1" x14ac:dyDescent="0.3">
      <c r="A1339" s="221" t="s">
        <v>457</v>
      </c>
      <c r="B1339" s="224" t="str">
        <f>INDEX(Orçamentária!A:B,MATCH(Composições!A1339,Orçamentária!A:A,0),2)</f>
        <v>Porta toalha barra – Linha Administrativa</v>
      </c>
      <c r="C1339" s="41"/>
      <c r="D1339" s="26" t="str">
        <f>TRIM(INDEX(Orçamentária!C:C,MATCH(Composições!A1339,Orçamentária!A:A,0),1))</f>
        <v>un</v>
      </c>
      <c r="E1339" s="27"/>
      <c r="F1339" s="42" t="s">
        <v>572</v>
      </c>
      <c r="G1339" s="28" t="str">
        <f t="shared" si="22"/>
        <v/>
      </c>
      <c r="H1339" s="29"/>
      <c r="I1339" s="30"/>
      <c r="J1339" s="156">
        <v>0</v>
      </c>
    </row>
    <row r="1340" spans="1:10" ht="15.75" hidden="1" thickBot="1" x14ac:dyDescent="0.3">
      <c r="A1340" s="222"/>
      <c r="B1340" s="225"/>
      <c r="C1340" s="32"/>
      <c r="D1340" s="32"/>
      <c r="E1340" s="33"/>
      <c r="F1340" s="43" t="s">
        <v>572</v>
      </c>
      <c r="G1340" s="31" t="str">
        <f t="shared" si="22"/>
        <v/>
      </c>
      <c r="H1340" s="35"/>
      <c r="I1340" s="31"/>
      <c r="J1340" s="156">
        <v>0</v>
      </c>
    </row>
    <row r="1341" spans="1:10" ht="26.25" hidden="1" thickBot="1" x14ac:dyDescent="0.3">
      <c r="A1341" s="222"/>
      <c r="B1341" s="225"/>
      <c r="C1341" s="36" t="s">
        <v>458</v>
      </c>
      <c r="D1341" s="47" t="s">
        <v>150</v>
      </c>
      <c r="E1341" s="37">
        <v>1</v>
      </c>
      <c r="F1341" s="34" t="s">
        <v>572</v>
      </c>
      <c r="G1341" s="34" t="str">
        <f t="shared" si="22"/>
        <v/>
      </c>
      <c r="H1341" s="39">
        <f>SUM(G1341:G1343)</f>
        <v>16.9208414</v>
      </c>
      <c r="I1341" s="40"/>
      <c r="J1341" s="156">
        <v>0</v>
      </c>
    </row>
    <row r="1342" spans="1:10" ht="15.75" hidden="1" thickBot="1" x14ac:dyDescent="0.3">
      <c r="A1342" s="222"/>
      <c r="B1342" s="225"/>
      <c r="C1342" s="36" t="s">
        <v>39</v>
      </c>
      <c r="D1342" s="47" t="s">
        <v>12</v>
      </c>
      <c r="E1342" s="37">
        <v>0.63229999999999997</v>
      </c>
      <c r="F1342" s="31">
        <v>21.622</v>
      </c>
      <c r="G1342" s="34">
        <f t="shared" si="22"/>
        <v>13.6715906</v>
      </c>
      <c r="H1342" s="35"/>
      <c r="I1342" s="31"/>
      <c r="J1342" s="156">
        <v>0</v>
      </c>
    </row>
    <row r="1343" spans="1:10" ht="15.75" hidden="1" thickBot="1" x14ac:dyDescent="0.3">
      <c r="A1343" s="222"/>
      <c r="B1343" s="225"/>
      <c r="C1343" s="36" t="s">
        <v>23</v>
      </c>
      <c r="D1343" s="47" t="s">
        <v>12</v>
      </c>
      <c r="E1343" s="37">
        <v>0.19919999999999999</v>
      </c>
      <c r="F1343" s="31">
        <v>16.311500000000002</v>
      </c>
      <c r="G1343" s="34">
        <f t="shared" si="22"/>
        <v>3.2492508000000004</v>
      </c>
      <c r="H1343" s="35"/>
      <c r="I1343" s="31"/>
      <c r="J1343" s="156">
        <v>0</v>
      </c>
    </row>
    <row r="1344" spans="1:10" ht="15.75" hidden="1" thickBot="1" x14ac:dyDescent="0.3">
      <c r="A1344" s="223"/>
      <c r="B1344" s="226"/>
      <c r="C1344" s="36"/>
      <c r="D1344" s="36"/>
      <c r="E1344" s="37"/>
      <c r="F1344" s="31" t="s">
        <v>572</v>
      </c>
      <c r="G1344" s="31" t="str">
        <f t="shared" si="22"/>
        <v/>
      </c>
      <c r="H1344" s="35"/>
      <c r="I1344" s="31"/>
      <c r="J1344" s="156">
        <v>0</v>
      </c>
    </row>
    <row r="1345" spans="1:10" ht="15.75" hidden="1" thickBot="1" x14ac:dyDescent="0.3">
      <c r="A1345" s="221" t="s">
        <v>459</v>
      </c>
      <c r="B1345" s="224" t="str">
        <f>INDEX(Orçamentária!A:B,MATCH(Composições!A1345,Orçamentária!A:A,0),2)</f>
        <v>Caixa 4x2 de embutir para alvenaria</v>
      </c>
      <c r="C1345" s="41"/>
      <c r="D1345" s="26" t="str">
        <f>TRIM(INDEX(Orçamentária!C:C,MATCH(Composições!A1345,Orçamentária!A:A,0),1))</f>
        <v>un</v>
      </c>
      <c r="E1345" s="27"/>
      <c r="F1345" s="42" t="s">
        <v>572</v>
      </c>
      <c r="G1345" s="28" t="str">
        <f t="shared" si="22"/>
        <v/>
      </c>
      <c r="H1345" s="29"/>
      <c r="I1345" s="30"/>
      <c r="J1345" s="156">
        <v>0</v>
      </c>
    </row>
    <row r="1346" spans="1:10" ht="15.75" hidden="1" thickBot="1" x14ac:dyDescent="0.3">
      <c r="A1346" s="222"/>
      <c r="B1346" s="225"/>
      <c r="C1346" s="32"/>
      <c r="D1346" s="32"/>
      <c r="E1346" s="33"/>
      <c r="F1346" s="43" t="s">
        <v>572</v>
      </c>
      <c r="G1346" s="31" t="str">
        <f t="shared" si="22"/>
        <v/>
      </c>
      <c r="H1346" s="35"/>
      <c r="I1346" s="31"/>
      <c r="J1346" s="156">
        <v>0</v>
      </c>
    </row>
    <row r="1347" spans="1:10" ht="15.75" hidden="1" thickBot="1" x14ac:dyDescent="0.3">
      <c r="A1347" s="222"/>
      <c r="B1347" s="225"/>
      <c r="C1347" s="36" t="s">
        <v>74</v>
      </c>
      <c r="D1347" s="36" t="s">
        <v>12</v>
      </c>
      <c r="E1347" s="37">
        <v>0.14499999999999999</v>
      </c>
      <c r="F1347" s="31">
        <v>17.366</v>
      </c>
      <c r="G1347" s="34">
        <f t="shared" si="22"/>
        <v>2.5180699999999998</v>
      </c>
      <c r="H1347" s="39">
        <f>SUM(G1347:G1350)</f>
        <v>8.1640552861540989</v>
      </c>
      <c r="I1347" s="40"/>
      <c r="J1347" s="156">
        <v>0</v>
      </c>
    </row>
    <row r="1348" spans="1:10" ht="15.75" hidden="1" thickBot="1" x14ac:dyDescent="0.3">
      <c r="A1348" s="222"/>
      <c r="B1348" s="225"/>
      <c r="C1348" s="36" t="s">
        <v>30</v>
      </c>
      <c r="D1348" s="36" t="s">
        <v>12</v>
      </c>
      <c r="E1348" s="37">
        <v>0.14499999999999999</v>
      </c>
      <c r="F1348" s="31">
        <v>22.268000000000001</v>
      </c>
      <c r="G1348" s="34">
        <f t="shared" si="22"/>
        <v>3.2288600000000001</v>
      </c>
      <c r="H1348" s="35"/>
      <c r="I1348" s="31"/>
      <c r="J1348" s="156">
        <v>0</v>
      </c>
    </row>
    <row r="1349" spans="1:10" ht="26.25" hidden="1" thickBot="1" x14ac:dyDescent="0.3">
      <c r="A1349" s="222"/>
      <c r="B1349" s="225"/>
      <c r="C1349" s="36" t="s">
        <v>111</v>
      </c>
      <c r="D1349" s="36" t="s">
        <v>112</v>
      </c>
      <c r="E1349" s="37">
        <v>8.9999999999999998E-4</v>
      </c>
      <c r="F1349" s="34">
        <v>511.25031794899996</v>
      </c>
      <c r="G1349" s="34">
        <f t="shared" si="22"/>
        <v>0.46012528615409998</v>
      </c>
      <c r="H1349" s="35"/>
      <c r="I1349" s="31"/>
      <c r="J1349" s="156">
        <v>0</v>
      </c>
    </row>
    <row r="1350" spans="1:10" ht="15.75" hidden="1" thickBot="1" x14ac:dyDescent="0.3">
      <c r="A1350" s="222"/>
      <c r="B1350" s="225"/>
      <c r="C1350" s="36" t="s">
        <v>460</v>
      </c>
      <c r="D1350" s="36" t="s">
        <v>20</v>
      </c>
      <c r="E1350" s="37">
        <v>1</v>
      </c>
      <c r="F1350" s="34">
        <v>1.9569999999999999</v>
      </c>
      <c r="G1350" s="31">
        <f t="shared" si="22"/>
        <v>1.9569999999999999</v>
      </c>
      <c r="H1350" s="35"/>
      <c r="I1350" s="31"/>
      <c r="J1350" s="156">
        <v>0</v>
      </c>
    </row>
    <row r="1351" spans="1:10" ht="15.75" hidden="1" thickBot="1" x14ac:dyDescent="0.3">
      <c r="A1351" s="223"/>
      <c r="B1351" s="226"/>
      <c r="C1351" s="36"/>
      <c r="D1351" s="36"/>
      <c r="E1351" s="37"/>
      <c r="F1351" s="31" t="s">
        <v>572</v>
      </c>
      <c r="G1351" s="31" t="str">
        <f t="shared" si="22"/>
        <v/>
      </c>
      <c r="H1351" s="35"/>
      <c r="I1351" s="31"/>
      <c r="J1351" s="156">
        <v>0</v>
      </c>
    </row>
    <row r="1352" spans="1:10" ht="15.75" hidden="1" thickBot="1" x14ac:dyDescent="0.3">
      <c r="A1352" s="221" t="s">
        <v>461</v>
      </c>
      <c r="B1352" s="224" t="str">
        <f>INDEX(Orçamentária!A:B,MATCH(Composições!A1352,Orçamentária!A:A,0),2)</f>
        <v>Caixa 4x2 para drywall</v>
      </c>
      <c r="C1352" s="41"/>
      <c r="D1352" s="26" t="str">
        <f>TRIM(INDEX(Orçamentária!C:C,MATCH(Composições!A1352,Orçamentária!A:A,0),1))</f>
        <v>un</v>
      </c>
      <c r="E1352" s="27"/>
      <c r="F1352" s="42" t="s">
        <v>572</v>
      </c>
      <c r="G1352" s="28" t="str">
        <f t="shared" si="22"/>
        <v/>
      </c>
      <c r="H1352" s="29"/>
      <c r="I1352" s="30"/>
      <c r="J1352" s="156">
        <v>0</v>
      </c>
    </row>
    <row r="1353" spans="1:10" ht="15.75" hidden="1" thickBot="1" x14ac:dyDescent="0.3">
      <c r="A1353" s="222"/>
      <c r="B1353" s="225"/>
      <c r="C1353" s="32"/>
      <c r="D1353" s="32"/>
      <c r="E1353" s="33"/>
      <c r="F1353" s="43" t="s">
        <v>572</v>
      </c>
      <c r="G1353" s="31" t="str">
        <f t="shared" si="22"/>
        <v/>
      </c>
      <c r="H1353" s="35"/>
      <c r="I1353" s="31"/>
      <c r="J1353" s="156">
        <v>0</v>
      </c>
    </row>
    <row r="1354" spans="1:10" ht="15.75" hidden="1" thickBot="1" x14ac:dyDescent="0.3">
      <c r="A1354" s="222"/>
      <c r="B1354" s="225"/>
      <c r="C1354" s="36" t="s">
        <v>74</v>
      </c>
      <c r="D1354" s="36" t="s">
        <v>12</v>
      </c>
      <c r="E1354" s="37">
        <v>0.14499999999999999</v>
      </c>
      <c r="F1354" s="31">
        <v>17.366</v>
      </c>
      <c r="G1354" s="34">
        <f t="shared" si="22"/>
        <v>2.5180699999999998</v>
      </c>
      <c r="H1354" s="39">
        <f>SUM(G1354:G1356)</f>
        <v>5.7469299999999999</v>
      </c>
      <c r="I1354" s="40"/>
      <c r="J1354" s="156">
        <v>0</v>
      </c>
    </row>
    <row r="1355" spans="1:10" ht="15.75" hidden="1" thickBot="1" x14ac:dyDescent="0.3">
      <c r="A1355" s="222"/>
      <c r="B1355" s="225"/>
      <c r="C1355" s="36" t="s">
        <v>30</v>
      </c>
      <c r="D1355" s="36" t="s">
        <v>12</v>
      </c>
      <c r="E1355" s="37">
        <v>0.14499999999999999</v>
      </c>
      <c r="F1355" s="31">
        <v>22.268000000000001</v>
      </c>
      <c r="G1355" s="34">
        <f t="shared" si="22"/>
        <v>3.2288600000000001</v>
      </c>
      <c r="H1355" s="35"/>
      <c r="I1355" s="31"/>
      <c r="J1355" s="156">
        <v>0</v>
      </c>
    </row>
    <row r="1356" spans="1:10" ht="15.75" hidden="1" thickBot="1" x14ac:dyDescent="0.3">
      <c r="A1356" s="222"/>
      <c r="B1356" s="225"/>
      <c r="C1356" s="36" t="s">
        <v>462</v>
      </c>
      <c r="D1356" s="36" t="s">
        <v>20</v>
      </c>
      <c r="E1356" s="37">
        <v>1</v>
      </c>
      <c r="F1356" s="34" t="s">
        <v>572</v>
      </c>
      <c r="G1356" s="31" t="str">
        <f t="shared" si="22"/>
        <v/>
      </c>
      <c r="H1356" s="35"/>
      <c r="I1356" s="31"/>
      <c r="J1356" s="156">
        <v>0</v>
      </c>
    </row>
    <row r="1357" spans="1:10" ht="15.75" hidden="1" thickBot="1" x14ac:dyDescent="0.3">
      <c r="A1357" s="223"/>
      <c r="B1357" s="226"/>
      <c r="C1357" s="36"/>
      <c r="D1357" s="36"/>
      <c r="E1357" s="37"/>
      <c r="F1357" s="31" t="s">
        <v>572</v>
      </c>
      <c r="G1357" s="31" t="str">
        <f t="shared" si="22"/>
        <v/>
      </c>
      <c r="H1357" s="35"/>
      <c r="I1357" s="31"/>
      <c r="J1357" s="156">
        <v>0</v>
      </c>
    </row>
    <row r="1358" spans="1:10" ht="15.75" hidden="1" thickBot="1" x14ac:dyDescent="0.3">
      <c r="A1358" s="221" t="s">
        <v>463</v>
      </c>
      <c r="B1358" s="224" t="str">
        <f>INDEX(Orçamentária!A:B,MATCH(Composições!A1358,Orçamentária!A:A,0),2)</f>
        <v>Caixa 4x4 de embutir para alvenaria</v>
      </c>
      <c r="C1358" s="41"/>
      <c r="D1358" s="26" t="str">
        <f>TRIM(INDEX(Orçamentária!C:C,MATCH(Composições!A1358,Orçamentária!A:A,0),1))</f>
        <v>un</v>
      </c>
      <c r="E1358" s="27"/>
      <c r="F1358" s="42" t="s">
        <v>572</v>
      </c>
      <c r="G1358" s="28" t="str">
        <f t="shared" si="22"/>
        <v/>
      </c>
      <c r="H1358" s="29"/>
      <c r="I1358" s="30"/>
      <c r="J1358" s="156">
        <v>0</v>
      </c>
    </row>
    <row r="1359" spans="1:10" ht="15.75" hidden="1" thickBot="1" x14ac:dyDescent="0.3">
      <c r="A1359" s="222"/>
      <c r="B1359" s="225"/>
      <c r="C1359" s="32"/>
      <c r="D1359" s="32"/>
      <c r="E1359" s="33"/>
      <c r="F1359" s="43" t="s">
        <v>572</v>
      </c>
      <c r="G1359" s="31" t="str">
        <f t="shared" si="22"/>
        <v/>
      </c>
      <c r="H1359" s="35"/>
      <c r="I1359" s="31"/>
      <c r="J1359" s="156">
        <v>0</v>
      </c>
    </row>
    <row r="1360" spans="1:10" ht="15.75" hidden="1" thickBot="1" x14ac:dyDescent="0.3">
      <c r="A1360" s="222"/>
      <c r="B1360" s="225"/>
      <c r="C1360" s="36" t="s">
        <v>74</v>
      </c>
      <c r="D1360" s="36" t="s">
        <v>12</v>
      </c>
      <c r="E1360" s="37">
        <v>0.16600000000000001</v>
      </c>
      <c r="F1360" s="31">
        <v>17.366</v>
      </c>
      <c r="G1360" s="34">
        <f t="shared" si="22"/>
        <v>2.8827560000000001</v>
      </c>
      <c r="H1360" s="39">
        <f>SUM(G1360:G1363)</f>
        <v>11.087744381538801</v>
      </c>
      <c r="I1360" s="40"/>
      <c r="J1360" s="156">
        <v>0</v>
      </c>
    </row>
    <row r="1361" spans="1:10" ht="15.75" hidden="1" thickBot="1" x14ac:dyDescent="0.3">
      <c r="A1361" s="222"/>
      <c r="B1361" s="225"/>
      <c r="C1361" s="36" t="s">
        <v>30</v>
      </c>
      <c r="D1361" s="36" t="s">
        <v>12</v>
      </c>
      <c r="E1361" s="37">
        <v>0.16600000000000001</v>
      </c>
      <c r="F1361" s="31">
        <v>22.268000000000001</v>
      </c>
      <c r="G1361" s="34">
        <f t="shared" si="22"/>
        <v>3.6964880000000004</v>
      </c>
      <c r="H1361" s="35"/>
      <c r="I1361" s="31"/>
      <c r="J1361" s="156">
        <v>0</v>
      </c>
    </row>
    <row r="1362" spans="1:10" ht="26.25" hidden="1" thickBot="1" x14ac:dyDescent="0.3">
      <c r="A1362" s="222"/>
      <c r="B1362" s="225"/>
      <c r="C1362" s="36" t="s">
        <v>111</v>
      </c>
      <c r="D1362" s="36" t="s">
        <v>112</v>
      </c>
      <c r="E1362" s="37">
        <v>1.1999999999999999E-3</v>
      </c>
      <c r="F1362" s="34">
        <v>511.25031794899996</v>
      </c>
      <c r="G1362" s="34">
        <f t="shared" si="22"/>
        <v>0.61350038153879993</v>
      </c>
      <c r="H1362" s="35"/>
      <c r="I1362" s="31"/>
      <c r="J1362" s="156">
        <v>0</v>
      </c>
    </row>
    <row r="1363" spans="1:10" ht="15.75" hidden="1" thickBot="1" x14ac:dyDescent="0.3">
      <c r="A1363" s="222"/>
      <c r="B1363" s="225"/>
      <c r="C1363" s="36" t="s">
        <v>464</v>
      </c>
      <c r="D1363" s="36" t="s">
        <v>20</v>
      </c>
      <c r="E1363" s="37">
        <v>1</v>
      </c>
      <c r="F1363" s="34">
        <v>3.8949999999999996</v>
      </c>
      <c r="G1363" s="31">
        <f t="shared" si="22"/>
        <v>3.8949999999999996</v>
      </c>
      <c r="H1363" s="35"/>
      <c r="I1363" s="31"/>
      <c r="J1363" s="156">
        <v>0</v>
      </c>
    </row>
    <row r="1364" spans="1:10" ht="15.75" hidden="1" thickBot="1" x14ac:dyDescent="0.3">
      <c r="A1364" s="223"/>
      <c r="B1364" s="226"/>
      <c r="C1364" s="36"/>
      <c r="D1364" s="36"/>
      <c r="E1364" s="37"/>
      <c r="F1364" s="31" t="s">
        <v>572</v>
      </c>
      <c r="G1364" s="31" t="str">
        <f t="shared" si="22"/>
        <v/>
      </c>
      <c r="H1364" s="35"/>
      <c r="I1364" s="31"/>
      <c r="J1364" s="156">
        <v>0</v>
      </c>
    </row>
    <row r="1365" spans="1:10" ht="15.75" hidden="1" thickBot="1" x14ac:dyDescent="0.3">
      <c r="A1365" s="221" t="s">
        <v>465</v>
      </c>
      <c r="B1365" s="224" t="str">
        <f>INDEX(Orçamentária!A:B,MATCH(Composições!A1365,Orçamentária!A:A,0),2)</f>
        <v>Caixa 4x4 para drywall</v>
      </c>
      <c r="C1365" s="41"/>
      <c r="D1365" s="26" t="str">
        <f>TRIM(INDEX(Orçamentária!C:C,MATCH(Composições!A1365,Orçamentária!A:A,0),1))</f>
        <v>un</v>
      </c>
      <c r="E1365" s="27"/>
      <c r="F1365" s="42" t="s">
        <v>572</v>
      </c>
      <c r="G1365" s="28" t="str">
        <f t="shared" ref="G1365:G1428" si="23">IF(ISNUMBER(F1365),E1365*F1365,"")</f>
        <v/>
      </c>
      <c r="H1365" s="29"/>
      <c r="I1365" s="30"/>
      <c r="J1365" s="156">
        <v>0</v>
      </c>
    </row>
    <row r="1366" spans="1:10" ht="15.75" hidden="1" thickBot="1" x14ac:dyDescent="0.3">
      <c r="A1366" s="222"/>
      <c r="B1366" s="225"/>
      <c r="C1366" s="32"/>
      <c r="D1366" s="32"/>
      <c r="E1366" s="33"/>
      <c r="F1366" s="43" t="s">
        <v>572</v>
      </c>
      <c r="G1366" s="31" t="str">
        <f t="shared" si="23"/>
        <v/>
      </c>
      <c r="H1366" s="35"/>
      <c r="I1366" s="31"/>
      <c r="J1366" s="156">
        <v>0</v>
      </c>
    </row>
    <row r="1367" spans="1:10" ht="15.75" hidden="1" thickBot="1" x14ac:dyDescent="0.3">
      <c r="A1367" s="222"/>
      <c r="B1367" s="225"/>
      <c r="C1367" s="36" t="s">
        <v>74</v>
      </c>
      <c r="D1367" s="36" t="s">
        <v>12</v>
      </c>
      <c r="E1367" s="37">
        <v>0.16600000000000001</v>
      </c>
      <c r="F1367" s="31">
        <v>17.366</v>
      </c>
      <c r="G1367" s="34">
        <f t="shared" si="23"/>
        <v>2.8827560000000001</v>
      </c>
      <c r="H1367" s="39">
        <f>SUM(G1367:G1369)</f>
        <v>6.579244000000001</v>
      </c>
      <c r="I1367" s="40"/>
      <c r="J1367" s="156">
        <v>0</v>
      </c>
    </row>
    <row r="1368" spans="1:10" ht="15.75" hidden="1" thickBot="1" x14ac:dyDescent="0.3">
      <c r="A1368" s="222"/>
      <c r="B1368" s="225"/>
      <c r="C1368" s="36" t="s">
        <v>30</v>
      </c>
      <c r="D1368" s="36" t="s">
        <v>12</v>
      </c>
      <c r="E1368" s="37">
        <v>0.16600000000000001</v>
      </c>
      <c r="F1368" s="31">
        <v>22.268000000000001</v>
      </c>
      <c r="G1368" s="34">
        <f t="shared" si="23"/>
        <v>3.6964880000000004</v>
      </c>
      <c r="H1368" s="35"/>
      <c r="I1368" s="31"/>
      <c r="J1368" s="156">
        <v>0</v>
      </c>
    </row>
    <row r="1369" spans="1:10" ht="15.75" hidden="1" thickBot="1" x14ac:dyDescent="0.3">
      <c r="A1369" s="222"/>
      <c r="B1369" s="225"/>
      <c r="C1369" s="36" t="s">
        <v>466</v>
      </c>
      <c r="D1369" s="36" t="s">
        <v>20</v>
      </c>
      <c r="E1369" s="37">
        <v>1</v>
      </c>
      <c r="F1369" s="34" t="s">
        <v>572</v>
      </c>
      <c r="G1369" s="31" t="str">
        <f t="shared" si="23"/>
        <v/>
      </c>
      <c r="H1369" s="35"/>
      <c r="I1369" s="31"/>
      <c r="J1369" s="156">
        <v>0</v>
      </c>
    </row>
    <row r="1370" spans="1:10" ht="15.75" hidden="1" thickBot="1" x14ac:dyDescent="0.3">
      <c r="A1370" s="223"/>
      <c r="B1370" s="226"/>
      <c r="C1370" s="36"/>
      <c r="D1370" s="36"/>
      <c r="E1370" s="37"/>
      <c r="F1370" s="31" t="s">
        <v>572</v>
      </c>
      <c r="G1370" s="31" t="str">
        <f t="shared" si="23"/>
        <v/>
      </c>
      <c r="H1370" s="35"/>
      <c r="I1370" s="31"/>
      <c r="J1370" s="156">
        <v>0</v>
      </c>
    </row>
    <row r="1371" spans="1:10" ht="15.75" hidden="1" thickBot="1" x14ac:dyDescent="0.3">
      <c r="A1371" s="221" t="s">
        <v>467</v>
      </c>
      <c r="B1371" s="224" t="str">
        <f>INDEX(Orçamentária!A:B,MATCH(Composições!A1371,Orçamentária!A:A,0),2)</f>
        <v>Caixa de passagem em alumínio 100x100x50mm</v>
      </c>
      <c r="C1371" s="41"/>
      <c r="D1371" s="26" t="str">
        <f>TRIM(INDEX(Orçamentária!C:C,MATCH(Composições!A1371,Orçamentária!A:A,0),1))</f>
        <v>un</v>
      </c>
      <c r="E1371" s="27"/>
      <c r="F1371" s="42" t="s">
        <v>572</v>
      </c>
      <c r="G1371" s="28" t="str">
        <f t="shared" si="23"/>
        <v/>
      </c>
      <c r="H1371" s="29"/>
      <c r="I1371" s="30"/>
      <c r="J1371" s="156">
        <v>0</v>
      </c>
    </row>
    <row r="1372" spans="1:10" ht="15.75" hidden="1" thickBot="1" x14ac:dyDescent="0.3">
      <c r="A1372" s="222"/>
      <c r="B1372" s="225"/>
      <c r="C1372" s="32"/>
      <c r="D1372" s="32"/>
      <c r="E1372" s="33"/>
      <c r="F1372" s="43" t="s">
        <v>572</v>
      </c>
      <c r="G1372" s="31" t="str">
        <f t="shared" si="23"/>
        <v/>
      </c>
      <c r="H1372" s="35"/>
      <c r="I1372" s="31"/>
      <c r="J1372" s="156">
        <v>0</v>
      </c>
    </row>
    <row r="1373" spans="1:10" ht="15.75" hidden="1" thickBot="1" x14ac:dyDescent="0.3">
      <c r="A1373" s="222"/>
      <c r="B1373" s="225"/>
      <c r="C1373" s="36" t="s">
        <v>74</v>
      </c>
      <c r="D1373" s="36" t="s">
        <v>12</v>
      </c>
      <c r="E1373" s="37">
        <v>0.34599999999999997</v>
      </c>
      <c r="F1373" s="31">
        <v>17.366</v>
      </c>
      <c r="G1373" s="34">
        <f t="shared" si="23"/>
        <v>6.0086359999999992</v>
      </c>
      <c r="H1373" s="39">
        <f>SUM(G1373:G1375)</f>
        <v>13.713363999999999</v>
      </c>
      <c r="I1373" s="40"/>
      <c r="J1373" s="156">
        <v>0</v>
      </c>
    </row>
    <row r="1374" spans="1:10" ht="15.75" hidden="1" thickBot="1" x14ac:dyDescent="0.3">
      <c r="A1374" s="222"/>
      <c r="B1374" s="225"/>
      <c r="C1374" s="36" t="s">
        <v>30</v>
      </c>
      <c r="D1374" s="36" t="s">
        <v>12</v>
      </c>
      <c r="E1374" s="37">
        <v>0.34599999999999997</v>
      </c>
      <c r="F1374" s="31">
        <v>22.268000000000001</v>
      </c>
      <c r="G1374" s="34">
        <f t="shared" si="23"/>
        <v>7.7047279999999994</v>
      </c>
      <c r="H1374" s="35"/>
      <c r="I1374" s="31"/>
      <c r="J1374" s="156">
        <v>0</v>
      </c>
    </row>
    <row r="1375" spans="1:10" ht="15.75" hidden="1" thickBot="1" x14ac:dyDescent="0.3">
      <c r="A1375" s="222"/>
      <c r="B1375" s="225"/>
      <c r="C1375" s="36" t="s">
        <v>468</v>
      </c>
      <c r="D1375" s="36" t="s">
        <v>94</v>
      </c>
      <c r="E1375" s="37">
        <v>1</v>
      </c>
      <c r="F1375" s="34" t="s">
        <v>572</v>
      </c>
      <c r="G1375" s="34" t="str">
        <f t="shared" si="23"/>
        <v/>
      </c>
      <c r="H1375" s="35"/>
      <c r="I1375" s="31"/>
      <c r="J1375" s="156">
        <v>0</v>
      </c>
    </row>
    <row r="1376" spans="1:10" ht="15.75" hidden="1" thickBot="1" x14ac:dyDescent="0.3">
      <c r="A1376" s="223"/>
      <c r="B1376" s="226"/>
      <c r="C1376" s="36"/>
      <c r="D1376" s="36"/>
      <c r="E1376" s="37"/>
      <c r="F1376" s="31" t="s">
        <v>572</v>
      </c>
      <c r="G1376" s="31" t="str">
        <f t="shared" si="23"/>
        <v/>
      </c>
      <c r="H1376" s="35"/>
      <c r="I1376" s="31"/>
      <c r="J1376" s="156">
        <v>0</v>
      </c>
    </row>
    <row r="1377" spans="1:10" ht="15.75" hidden="1" thickBot="1" x14ac:dyDescent="0.3">
      <c r="A1377" s="221" t="s">
        <v>469</v>
      </c>
      <c r="B1377" s="224" t="str">
        <f>INDEX(Orçamentária!A:B,MATCH(Composições!A1377,Orçamentária!A:A,0),2)</f>
        <v>Caixa de passagem em alumínio 200x200x100mm</v>
      </c>
      <c r="C1377" s="41"/>
      <c r="D1377" s="26" t="str">
        <f>TRIM(INDEX(Orçamentária!C:C,MATCH(Composições!A1377,Orçamentária!A:A,0),1))</f>
        <v>un</v>
      </c>
      <c r="E1377" s="27"/>
      <c r="F1377" s="42" t="s">
        <v>572</v>
      </c>
      <c r="G1377" s="28" t="str">
        <f t="shared" si="23"/>
        <v/>
      </c>
      <c r="H1377" s="29"/>
      <c r="I1377" s="30"/>
      <c r="J1377" s="156">
        <v>0</v>
      </c>
    </row>
    <row r="1378" spans="1:10" ht="15.75" hidden="1" thickBot="1" x14ac:dyDescent="0.3">
      <c r="A1378" s="222"/>
      <c r="B1378" s="225"/>
      <c r="C1378" s="32"/>
      <c r="D1378" s="32"/>
      <c r="E1378" s="33"/>
      <c r="F1378" s="43" t="s">
        <v>572</v>
      </c>
      <c r="G1378" s="31" t="str">
        <f t="shared" si="23"/>
        <v/>
      </c>
      <c r="H1378" s="35"/>
      <c r="I1378" s="31"/>
      <c r="J1378" s="156">
        <v>0</v>
      </c>
    </row>
    <row r="1379" spans="1:10" ht="15.75" hidden="1" thickBot="1" x14ac:dyDescent="0.3">
      <c r="A1379" s="222"/>
      <c r="B1379" s="225"/>
      <c r="C1379" s="36" t="s">
        <v>74</v>
      </c>
      <c r="D1379" s="36" t="s">
        <v>12</v>
      </c>
      <c r="E1379" s="37">
        <v>0.34599999999999997</v>
      </c>
      <c r="F1379" s="31">
        <v>17.366</v>
      </c>
      <c r="G1379" s="34">
        <f t="shared" si="23"/>
        <v>6.0086359999999992</v>
      </c>
      <c r="H1379" s="39">
        <f>SUM(G1379:G1381)</f>
        <v>13.713363999999999</v>
      </c>
      <c r="I1379" s="40"/>
      <c r="J1379" s="156">
        <v>0</v>
      </c>
    </row>
    <row r="1380" spans="1:10" ht="15.75" hidden="1" thickBot="1" x14ac:dyDescent="0.3">
      <c r="A1380" s="222"/>
      <c r="B1380" s="225"/>
      <c r="C1380" s="36" t="s">
        <v>30</v>
      </c>
      <c r="D1380" s="36" t="s">
        <v>12</v>
      </c>
      <c r="E1380" s="37">
        <v>0.34599999999999997</v>
      </c>
      <c r="F1380" s="31">
        <v>22.268000000000001</v>
      </c>
      <c r="G1380" s="34">
        <f t="shared" si="23"/>
        <v>7.7047279999999994</v>
      </c>
      <c r="H1380" s="35"/>
      <c r="I1380" s="31"/>
      <c r="J1380" s="156">
        <v>0</v>
      </c>
    </row>
    <row r="1381" spans="1:10" ht="15.75" hidden="1" thickBot="1" x14ac:dyDescent="0.3">
      <c r="A1381" s="222"/>
      <c r="B1381" s="225"/>
      <c r="C1381" s="36" t="s">
        <v>470</v>
      </c>
      <c r="D1381" s="36" t="s">
        <v>94</v>
      </c>
      <c r="E1381" s="37">
        <v>1</v>
      </c>
      <c r="F1381" s="34" t="s">
        <v>572</v>
      </c>
      <c r="G1381" s="34" t="str">
        <f t="shared" si="23"/>
        <v/>
      </c>
      <c r="H1381" s="35"/>
      <c r="I1381" s="31"/>
      <c r="J1381" s="156">
        <v>0</v>
      </c>
    </row>
    <row r="1382" spans="1:10" ht="15.75" hidden="1" thickBot="1" x14ac:dyDescent="0.3">
      <c r="A1382" s="223"/>
      <c r="B1382" s="226"/>
      <c r="C1382" s="36"/>
      <c r="D1382" s="36"/>
      <c r="E1382" s="37"/>
      <c r="F1382" s="31" t="s">
        <v>572</v>
      </c>
      <c r="G1382" s="31" t="str">
        <f t="shared" si="23"/>
        <v/>
      </c>
      <c r="H1382" s="35"/>
      <c r="I1382" s="31"/>
      <c r="J1382" s="156">
        <v>0</v>
      </c>
    </row>
    <row r="1383" spans="1:10" ht="15.75" hidden="1" thickBot="1" x14ac:dyDescent="0.3">
      <c r="A1383" s="221" t="s">
        <v>471</v>
      </c>
      <c r="B1383" s="224" t="str">
        <f>INDEX(Orçamentária!A:B,MATCH(Composições!A1383,Orçamentária!A:A,0),2)</f>
        <v>Caixa de passagem em PVC 150x150x75mm</v>
      </c>
      <c r="C1383" s="41"/>
      <c r="D1383" s="26" t="str">
        <f>TRIM(INDEX(Orçamentária!C:C,MATCH(Composições!A1383,Orçamentária!A:A,0),1))</f>
        <v>un</v>
      </c>
      <c r="E1383" s="27"/>
      <c r="F1383" s="42" t="s">
        <v>572</v>
      </c>
      <c r="G1383" s="28" t="str">
        <f t="shared" si="23"/>
        <v/>
      </c>
      <c r="H1383" s="29"/>
      <c r="I1383" s="30"/>
      <c r="J1383" s="156">
        <v>0</v>
      </c>
    </row>
    <row r="1384" spans="1:10" ht="15.75" hidden="1" thickBot="1" x14ac:dyDescent="0.3">
      <c r="A1384" s="222"/>
      <c r="B1384" s="225"/>
      <c r="C1384" s="32"/>
      <c r="D1384" s="32"/>
      <c r="E1384" s="33"/>
      <c r="F1384" s="43" t="s">
        <v>572</v>
      </c>
      <c r="G1384" s="31" t="str">
        <f t="shared" si="23"/>
        <v/>
      </c>
      <c r="H1384" s="35"/>
      <c r="I1384" s="31"/>
      <c r="J1384" s="156">
        <v>0</v>
      </c>
    </row>
    <row r="1385" spans="1:10" ht="15.75" hidden="1" thickBot="1" x14ac:dyDescent="0.3">
      <c r="A1385" s="222"/>
      <c r="B1385" s="225"/>
      <c r="C1385" s="36" t="s">
        <v>30</v>
      </c>
      <c r="D1385" s="36" t="s">
        <v>12</v>
      </c>
      <c r="E1385" s="37">
        <v>0.34599999999999997</v>
      </c>
      <c r="F1385" s="31">
        <v>22.268000000000001</v>
      </c>
      <c r="G1385" s="34">
        <f t="shared" si="23"/>
        <v>7.7047279999999994</v>
      </c>
      <c r="H1385" s="39">
        <f>SUM(G1385:G1387)</f>
        <v>54.170006999999998</v>
      </c>
      <c r="I1385" s="40"/>
      <c r="J1385" s="156">
        <v>0</v>
      </c>
    </row>
    <row r="1386" spans="1:10" ht="15.75" hidden="1" thickBot="1" x14ac:dyDescent="0.3">
      <c r="A1386" s="222"/>
      <c r="B1386" s="225"/>
      <c r="C1386" s="36" t="s">
        <v>23</v>
      </c>
      <c r="D1386" s="36" t="s">
        <v>12</v>
      </c>
      <c r="E1386" s="37">
        <v>0.34599999999999997</v>
      </c>
      <c r="F1386" s="31">
        <v>16.311500000000002</v>
      </c>
      <c r="G1386" s="34">
        <f t="shared" si="23"/>
        <v>5.6437790000000003</v>
      </c>
      <c r="H1386" s="35"/>
      <c r="I1386" s="31"/>
      <c r="J1386" s="156">
        <v>0</v>
      </c>
    </row>
    <row r="1387" spans="1:10" ht="26.25" hidden="1" thickBot="1" x14ac:dyDescent="0.3">
      <c r="A1387" s="222"/>
      <c r="B1387" s="225"/>
      <c r="C1387" s="36" t="s">
        <v>472</v>
      </c>
      <c r="D1387" s="36" t="s">
        <v>20</v>
      </c>
      <c r="E1387" s="37">
        <v>1</v>
      </c>
      <c r="F1387" s="34">
        <v>40.8215</v>
      </c>
      <c r="G1387" s="31">
        <f t="shared" si="23"/>
        <v>40.8215</v>
      </c>
      <c r="H1387" s="35"/>
      <c r="I1387" s="31"/>
      <c r="J1387" s="156">
        <v>0</v>
      </c>
    </row>
    <row r="1388" spans="1:10" ht="15.75" hidden="1" thickBot="1" x14ac:dyDescent="0.3">
      <c r="A1388" s="223"/>
      <c r="B1388" s="226"/>
      <c r="C1388" s="36"/>
      <c r="D1388" s="36"/>
      <c r="E1388" s="37"/>
      <c r="F1388" s="31" t="s">
        <v>572</v>
      </c>
      <c r="G1388" s="31" t="str">
        <f t="shared" si="23"/>
        <v/>
      </c>
      <c r="H1388" s="35"/>
      <c r="I1388" s="31"/>
      <c r="J1388" s="156">
        <v>0</v>
      </c>
    </row>
    <row r="1389" spans="1:10" ht="15.75" hidden="1" thickBot="1" x14ac:dyDescent="0.3">
      <c r="A1389" s="221" t="s">
        <v>473</v>
      </c>
      <c r="B1389" s="224" t="str">
        <f>INDEX(Orçamentária!A:B,MATCH(Composições!A1389,Orçamentária!A:A,0),2)</f>
        <v>Caixa para piso elevado</v>
      </c>
      <c r="C1389" s="41"/>
      <c r="D1389" s="26" t="str">
        <f>TRIM(INDEX(Orçamentária!C:C,MATCH(Composições!A1389,Orçamentária!A:A,0),1))</f>
        <v>un</v>
      </c>
      <c r="E1389" s="27"/>
      <c r="F1389" s="42" t="s">
        <v>572</v>
      </c>
      <c r="G1389" s="28" t="str">
        <f t="shared" si="23"/>
        <v/>
      </c>
      <c r="H1389" s="29"/>
      <c r="I1389" s="30"/>
      <c r="J1389" s="156">
        <v>0</v>
      </c>
    </row>
    <row r="1390" spans="1:10" ht="15.75" hidden="1" thickBot="1" x14ac:dyDescent="0.3">
      <c r="A1390" s="222"/>
      <c r="B1390" s="225"/>
      <c r="C1390" s="32"/>
      <c r="D1390" s="32"/>
      <c r="E1390" s="33"/>
      <c r="F1390" s="43" t="s">
        <v>572</v>
      </c>
      <c r="G1390" s="31" t="str">
        <f t="shared" si="23"/>
        <v/>
      </c>
      <c r="H1390" s="35"/>
      <c r="I1390" s="31"/>
      <c r="J1390" s="156">
        <v>0</v>
      </c>
    </row>
    <row r="1391" spans="1:10" ht="15.75" hidden="1" thickBot="1" x14ac:dyDescent="0.3">
      <c r="A1391" s="222"/>
      <c r="B1391" s="225"/>
      <c r="C1391" s="36" t="s">
        <v>30</v>
      </c>
      <c r="D1391" s="36" t="s">
        <v>12</v>
      </c>
      <c r="E1391" s="37">
        <v>0.34599999999999997</v>
      </c>
      <c r="F1391" s="31">
        <v>22.268000000000001</v>
      </c>
      <c r="G1391" s="31">
        <f t="shared" si="23"/>
        <v>7.7047279999999994</v>
      </c>
      <c r="H1391" s="39">
        <f>SUM(G1391:G1393)</f>
        <v>13.713363999999999</v>
      </c>
      <c r="I1391" s="40"/>
      <c r="J1391" s="156">
        <v>0</v>
      </c>
    </row>
    <row r="1392" spans="1:10" ht="15.75" hidden="1" thickBot="1" x14ac:dyDescent="0.3">
      <c r="A1392" s="222"/>
      <c r="B1392" s="225"/>
      <c r="C1392" s="36" t="s">
        <v>74</v>
      </c>
      <c r="D1392" s="36" t="s">
        <v>12</v>
      </c>
      <c r="E1392" s="37">
        <v>0.34599999999999997</v>
      </c>
      <c r="F1392" s="31">
        <v>17.366</v>
      </c>
      <c r="G1392" s="31">
        <f t="shared" si="23"/>
        <v>6.0086359999999992</v>
      </c>
      <c r="H1392" s="35"/>
      <c r="I1392" s="31"/>
      <c r="J1392" s="156">
        <v>0</v>
      </c>
    </row>
    <row r="1393" spans="1:10" ht="26.25" hidden="1" thickBot="1" x14ac:dyDescent="0.3">
      <c r="A1393" s="222"/>
      <c r="B1393" s="225"/>
      <c r="C1393" s="36" t="s">
        <v>474</v>
      </c>
      <c r="D1393" s="47" t="s">
        <v>20</v>
      </c>
      <c r="E1393" s="37">
        <v>1</v>
      </c>
      <c r="F1393" s="34" t="s">
        <v>572</v>
      </c>
      <c r="G1393" s="31" t="str">
        <f t="shared" si="23"/>
        <v/>
      </c>
      <c r="H1393" s="35"/>
      <c r="I1393" s="31"/>
      <c r="J1393" s="156">
        <v>0</v>
      </c>
    </row>
    <row r="1394" spans="1:10" ht="15.75" hidden="1" thickBot="1" x14ac:dyDescent="0.3">
      <c r="A1394" s="222"/>
      <c r="B1394" s="225"/>
      <c r="C1394" s="36"/>
      <c r="D1394" s="47"/>
      <c r="E1394" s="37"/>
      <c r="F1394" s="34" t="s">
        <v>572</v>
      </c>
      <c r="G1394" s="31" t="str">
        <f t="shared" si="23"/>
        <v/>
      </c>
      <c r="H1394" s="35"/>
      <c r="I1394" s="31"/>
      <c r="J1394" s="156">
        <v>0</v>
      </c>
    </row>
    <row r="1395" spans="1:10" ht="15.75" hidden="1" thickBot="1" x14ac:dyDescent="0.3">
      <c r="A1395" s="221" t="s">
        <v>475</v>
      </c>
      <c r="B1395" s="224" t="str">
        <f>INDEX(Orçamentária!A:B,MATCH(Composições!A1395,Orçamentária!A:A,0),2)</f>
        <v>Canaleta em alumínio aparente 73mmx25mm</v>
      </c>
      <c r="C1395" s="41"/>
      <c r="D1395" s="26" t="str">
        <f>TRIM(INDEX(Orçamentária!C:C,MATCH(Composições!A1395,Orçamentária!A:A,0),1))</f>
        <v>m</v>
      </c>
      <c r="E1395" s="27"/>
      <c r="F1395" s="42" t="s">
        <v>572</v>
      </c>
      <c r="G1395" s="28" t="str">
        <f t="shared" si="23"/>
        <v/>
      </c>
      <c r="H1395" s="29"/>
      <c r="I1395" s="30"/>
      <c r="J1395" s="156">
        <v>0</v>
      </c>
    </row>
    <row r="1396" spans="1:10" ht="15.75" hidden="1" thickBot="1" x14ac:dyDescent="0.3">
      <c r="A1396" s="222"/>
      <c r="B1396" s="225"/>
      <c r="C1396" s="32"/>
      <c r="D1396" s="32"/>
      <c r="E1396" s="33"/>
      <c r="F1396" s="43" t="s">
        <v>572</v>
      </c>
      <c r="G1396" s="31" t="str">
        <f t="shared" si="23"/>
        <v/>
      </c>
      <c r="H1396" s="35"/>
      <c r="I1396" s="31"/>
      <c r="J1396" s="156">
        <v>0</v>
      </c>
    </row>
    <row r="1397" spans="1:10" ht="26.25" hidden="1" thickBot="1" x14ac:dyDescent="0.3">
      <c r="A1397" s="222"/>
      <c r="B1397" s="225"/>
      <c r="C1397" s="36" t="s">
        <v>476</v>
      </c>
      <c r="D1397" s="36" t="s">
        <v>94</v>
      </c>
      <c r="E1397" s="37">
        <v>1.1499999999999999</v>
      </c>
      <c r="F1397" s="34" t="s">
        <v>572</v>
      </c>
      <c r="G1397" s="34" t="str">
        <f t="shared" si="23"/>
        <v/>
      </c>
      <c r="H1397" s="39">
        <f>SUM(G1397:G1399)</f>
        <v>7.1341199999999994</v>
      </c>
      <c r="I1397" s="40"/>
      <c r="J1397" s="156">
        <v>0</v>
      </c>
    </row>
    <row r="1398" spans="1:10" ht="15.75" hidden="1" thickBot="1" x14ac:dyDescent="0.3">
      <c r="A1398" s="222"/>
      <c r="B1398" s="225"/>
      <c r="C1398" s="36" t="s">
        <v>74</v>
      </c>
      <c r="D1398" s="47" t="s">
        <v>12</v>
      </c>
      <c r="E1398" s="37">
        <v>0.18</v>
      </c>
      <c r="F1398" s="31">
        <v>17.366</v>
      </c>
      <c r="G1398" s="34">
        <f t="shared" si="23"/>
        <v>3.12588</v>
      </c>
      <c r="H1398" s="35"/>
      <c r="I1398" s="31"/>
      <c r="J1398" s="156">
        <v>0</v>
      </c>
    </row>
    <row r="1399" spans="1:10" ht="15.75" hidden="1" thickBot="1" x14ac:dyDescent="0.3">
      <c r="A1399" s="222"/>
      <c r="B1399" s="225"/>
      <c r="C1399" s="36" t="s">
        <v>30</v>
      </c>
      <c r="D1399" s="36" t="s">
        <v>12</v>
      </c>
      <c r="E1399" s="37">
        <v>0.18</v>
      </c>
      <c r="F1399" s="31">
        <v>22.268000000000001</v>
      </c>
      <c r="G1399" s="34">
        <f t="shared" si="23"/>
        <v>4.0082399999999998</v>
      </c>
      <c r="H1399" s="35"/>
      <c r="I1399" s="31"/>
      <c r="J1399" s="156">
        <v>0</v>
      </c>
    </row>
    <row r="1400" spans="1:10" ht="15.75" hidden="1" thickBot="1" x14ac:dyDescent="0.3">
      <c r="A1400" s="223"/>
      <c r="B1400" s="226"/>
      <c r="C1400" s="36"/>
      <c r="D1400" s="36"/>
      <c r="E1400" s="37"/>
      <c r="F1400" s="31" t="s">
        <v>572</v>
      </c>
      <c r="G1400" s="31" t="str">
        <f t="shared" si="23"/>
        <v/>
      </c>
      <c r="H1400" s="35"/>
      <c r="I1400" s="31"/>
      <c r="J1400" s="156">
        <v>0</v>
      </c>
    </row>
    <row r="1401" spans="1:10" ht="15.75" hidden="1" thickBot="1" x14ac:dyDescent="0.3">
      <c r="A1401" s="221" t="s">
        <v>477</v>
      </c>
      <c r="B1401" s="224" t="str">
        <f>INDEX(Orçamentária!A:B,MATCH(Composições!A1401,Orçamentária!A:A,0),2)</f>
        <v>Condulete de alumínio de 1’’</v>
      </c>
      <c r="C1401" s="41"/>
      <c r="D1401" s="26" t="str">
        <f>TRIM(INDEX(Orçamentária!C:C,MATCH(Composições!A1401,Orçamentária!A:A,0),1))</f>
        <v>un</v>
      </c>
      <c r="E1401" s="27"/>
      <c r="F1401" s="42" t="s">
        <v>572</v>
      </c>
      <c r="G1401" s="28" t="str">
        <f t="shared" si="23"/>
        <v/>
      </c>
      <c r="H1401" s="29"/>
      <c r="I1401" s="30"/>
      <c r="J1401" s="156">
        <v>0</v>
      </c>
    </row>
    <row r="1402" spans="1:10" ht="15.75" hidden="1" thickBot="1" x14ac:dyDescent="0.3">
      <c r="A1402" s="222"/>
      <c r="B1402" s="225"/>
      <c r="C1402" s="32"/>
      <c r="D1402" s="32"/>
      <c r="E1402" s="33"/>
      <c r="F1402" s="43" t="s">
        <v>572</v>
      </c>
      <c r="G1402" s="31" t="str">
        <f t="shared" si="23"/>
        <v/>
      </c>
      <c r="H1402" s="35"/>
      <c r="I1402" s="31"/>
      <c r="J1402" s="156">
        <v>0</v>
      </c>
    </row>
    <row r="1403" spans="1:10" ht="15.75" hidden="1" thickBot="1" x14ac:dyDescent="0.3">
      <c r="A1403" s="222"/>
      <c r="B1403" s="225"/>
      <c r="C1403" s="36" t="s">
        <v>74</v>
      </c>
      <c r="D1403" s="36" t="s">
        <v>12</v>
      </c>
      <c r="E1403" s="37">
        <v>0.53849999999999998</v>
      </c>
      <c r="F1403" s="31">
        <v>17.366</v>
      </c>
      <c r="G1403" s="34">
        <f t="shared" si="23"/>
        <v>9.3515909999999991</v>
      </c>
      <c r="H1403" s="39">
        <f>SUM(G1403:G1406)</f>
        <v>32.011409</v>
      </c>
      <c r="I1403" s="40"/>
      <c r="J1403" s="156">
        <v>0</v>
      </c>
    </row>
    <row r="1404" spans="1:10" ht="15.75" hidden="1" thickBot="1" x14ac:dyDescent="0.3">
      <c r="A1404" s="222"/>
      <c r="B1404" s="225"/>
      <c r="C1404" s="36" t="s">
        <v>30</v>
      </c>
      <c r="D1404" s="36" t="s">
        <v>12</v>
      </c>
      <c r="E1404" s="37">
        <v>0.53849999999999998</v>
      </c>
      <c r="F1404" s="31">
        <v>22.268000000000001</v>
      </c>
      <c r="G1404" s="34">
        <f t="shared" si="23"/>
        <v>11.991318</v>
      </c>
      <c r="H1404" s="35"/>
      <c r="I1404" s="31"/>
      <c r="J1404" s="156">
        <v>0</v>
      </c>
    </row>
    <row r="1405" spans="1:10" ht="26.25" hidden="1" thickBot="1" x14ac:dyDescent="0.3">
      <c r="A1405" s="222"/>
      <c r="B1405" s="225"/>
      <c r="C1405" s="36" t="s">
        <v>478</v>
      </c>
      <c r="D1405" s="36" t="s">
        <v>20</v>
      </c>
      <c r="E1405" s="37">
        <v>2</v>
      </c>
      <c r="F1405" s="34">
        <v>0.247</v>
      </c>
      <c r="G1405" s="34">
        <f t="shared" si="23"/>
        <v>0.49399999999999999</v>
      </c>
      <c r="H1405" s="35"/>
      <c r="I1405" s="31"/>
      <c r="J1405" s="156">
        <v>0</v>
      </c>
    </row>
    <row r="1406" spans="1:10" ht="26.25" hidden="1" thickBot="1" x14ac:dyDescent="0.3">
      <c r="A1406" s="222"/>
      <c r="B1406" s="225"/>
      <c r="C1406" s="36" t="s">
        <v>479</v>
      </c>
      <c r="D1406" s="36" t="s">
        <v>20</v>
      </c>
      <c r="E1406" s="37">
        <v>1</v>
      </c>
      <c r="F1406" s="34">
        <v>10.1745</v>
      </c>
      <c r="G1406" s="31">
        <f t="shared" si="23"/>
        <v>10.1745</v>
      </c>
      <c r="H1406" s="35"/>
      <c r="I1406" s="31"/>
      <c r="J1406" s="156">
        <v>0</v>
      </c>
    </row>
    <row r="1407" spans="1:10" ht="15.75" hidden="1" thickBot="1" x14ac:dyDescent="0.3">
      <c r="A1407" s="223"/>
      <c r="B1407" s="226"/>
      <c r="C1407" s="36"/>
      <c r="D1407" s="36"/>
      <c r="E1407" s="37"/>
      <c r="F1407" s="31" t="s">
        <v>572</v>
      </c>
      <c r="G1407" s="31" t="str">
        <f t="shared" si="23"/>
        <v/>
      </c>
      <c r="H1407" s="35"/>
      <c r="I1407" s="31"/>
      <c r="J1407" s="156">
        <v>0</v>
      </c>
    </row>
    <row r="1408" spans="1:10" ht="15.75" hidden="1" thickBot="1" x14ac:dyDescent="0.3">
      <c r="A1408" s="221" t="s">
        <v>480</v>
      </c>
      <c r="B1408" s="224" t="str">
        <f>INDEX(Orçamentária!A:B,MATCH(Composições!A1408,Orçamentária!A:A,0),2)</f>
        <v>Eletrocalha 100x50 mm</v>
      </c>
      <c r="C1408" s="41"/>
      <c r="D1408" s="26" t="str">
        <f>TRIM(INDEX(Orçamentária!C:C,MATCH(Composições!A1408,Orçamentária!A:A,0),1))</f>
        <v>m</v>
      </c>
      <c r="E1408" s="27"/>
      <c r="F1408" s="42" t="s">
        <v>572</v>
      </c>
      <c r="G1408" s="28" t="str">
        <f t="shared" si="23"/>
        <v/>
      </c>
      <c r="H1408" s="29"/>
      <c r="I1408" s="30"/>
      <c r="J1408" s="156">
        <v>0</v>
      </c>
    </row>
    <row r="1409" spans="1:10" ht="15.75" hidden="1" thickBot="1" x14ac:dyDescent="0.3">
      <c r="A1409" s="222"/>
      <c r="B1409" s="225"/>
      <c r="C1409" s="32"/>
      <c r="D1409" s="32"/>
      <c r="E1409" s="33"/>
      <c r="F1409" s="43" t="s">
        <v>572</v>
      </c>
      <c r="G1409" s="31" t="str">
        <f t="shared" si="23"/>
        <v/>
      </c>
      <c r="H1409" s="35"/>
      <c r="I1409" s="31"/>
      <c r="J1409" s="156">
        <v>0</v>
      </c>
    </row>
    <row r="1410" spans="1:10" ht="15.75" hidden="1" thickBot="1" x14ac:dyDescent="0.3">
      <c r="A1410" s="222"/>
      <c r="B1410" s="225"/>
      <c r="C1410" s="36" t="s">
        <v>30</v>
      </c>
      <c r="D1410" s="36" t="s">
        <v>12</v>
      </c>
      <c r="E1410" s="37">
        <v>0.45</v>
      </c>
      <c r="F1410" s="31">
        <v>22.268000000000001</v>
      </c>
      <c r="G1410" s="31">
        <f t="shared" si="23"/>
        <v>10.0206</v>
      </c>
      <c r="H1410" s="39">
        <f>SUM(G1410:G1421)</f>
        <v>18.40577025</v>
      </c>
      <c r="I1410" s="40"/>
      <c r="J1410" s="156">
        <v>0</v>
      </c>
    </row>
    <row r="1411" spans="1:10" ht="15.75" hidden="1" thickBot="1" x14ac:dyDescent="0.3">
      <c r="A1411" s="222"/>
      <c r="B1411" s="225"/>
      <c r="C1411" s="36" t="s">
        <v>74</v>
      </c>
      <c r="D1411" s="47" t="s">
        <v>12</v>
      </c>
      <c r="E1411" s="37">
        <v>0.45</v>
      </c>
      <c r="F1411" s="31">
        <v>17.366</v>
      </c>
      <c r="G1411" s="31">
        <f t="shared" si="23"/>
        <v>7.8147000000000002</v>
      </c>
      <c r="H1411" s="35"/>
      <c r="I1411" s="31"/>
      <c r="J1411" s="156">
        <v>0</v>
      </c>
    </row>
    <row r="1412" spans="1:10" ht="26.25" hidden="1" thickBot="1" x14ac:dyDescent="0.3">
      <c r="A1412" s="222"/>
      <c r="B1412" s="225"/>
      <c r="C1412" s="36" t="s">
        <v>481</v>
      </c>
      <c r="D1412" s="36" t="s">
        <v>150</v>
      </c>
      <c r="E1412" s="37">
        <v>0.67</v>
      </c>
      <c r="F1412" s="31">
        <v>0</v>
      </c>
      <c r="G1412" s="31">
        <f t="shared" si="23"/>
        <v>0</v>
      </c>
      <c r="H1412" s="62"/>
      <c r="I1412" s="1"/>
      <c r="J1412" s="156">
        <v>0</v>
      </c>
    </row>
    <row r="1413" spans="1:10" ht="26.25" hidden="1" thickBot="1" x14ac:dyDescent="0.3">
      <c r="A1413" s="222"/>
      <c r="B1413" s="225"/>
      <c r="C1413" s="36" t="s">
        <v>482</v>
      </c>
      <c r="D1413" s="36" t="s">
        <v>94</v>
      </c>
      <c r="E1413" s="37">
        <v>1.05</v>
      </c>
      <c r="F1413" s="34" t="s">
        <v>572</v>
      </c>
      <c r="G1413" s="31" t="str">
        <f t="shared" si="23"/>
        <v/>
      </c>
      <c r="H1413" s="35"/>
      <c r="I1413" s="31"/>
      <c r="J1413" s="156">
        <v>0</v>
      </c>
    </row>
    <row r="1414" spans="1:10" ht="15.75" hidden="1" thickBot="1" x14ac:dyDescent="0.3">
      <c r="A1414" s="222"/>
      <c r="B1414" s="225"/>
      <c r="C1414" s="36" t="s">
        <v>483</v>
      </c>
      <c r="D1414" s="36" t="s">
        <v>94</v>
      </c>
      <c r="E1414" s="37">
        <v>0.8</v>
      </c>
      <c r="F1414" s="31">
        <v>0</v>
      </c>
      <c r="G1414" s="31">
        <f t="shared" si="23"/>
        <v>0</v>
      </c>
      <c r="H1414" s="35"/>
      <c r="I1414" s="31"/>
      <c r="J1414" s="156">
        <v>0</v>
      </c>
    </row>
    <row r="1415" spans="1:10" ht="15.75" hidden="1" thickBot="1" x14ac:dyDescent="0.3">
      <c r="A1415" s="222"/>
      <c r="B1415" s="225"/>
      <c r="C1415" s="36" t="s">
        <v>484</v>
      </c>
      <c r="D1415" s="36" t="s">
        <v>299</v>
      </c>
      <c r="E1415" s="37">
        <v>4.0033000000000003</v>
      </c>
      <c r="F1415" s="34">
        <v>0.14249999999999999</v>
      </c>
      <c r="G1415" s="31">
        <f t="shared" si="23"/>
        <v>0.57047024999999996</v>
      </c>
      <c r="H1415" s="35"/>
      <c r="I1415" s="31"/>
      <c r="J1415" s="156">
        <v>0</v>
      </c>
    </row>
    <row r="1416" spans="1:10" ht="15.75" hidden="1" thickBot="1" x14ac:dyDescent="0.3">
      <c r="A1416" s="222"/>
      <c r="B1416" s="225"/>
      <c r="C1416" s="36" t="s">
        <v>485</v>
      </c>
      <c r="D1416" s="36" t="s">
        <v>150</v>
      </c>
      <c r="E1416" s="37">
        <v>4.0033000000000003</v>
      </c>
      <c r="F1416" s="31">
        <v>0</v>
      </c>
      <c r="G1416" s="31">
        <f t="shared" si="23"/>
        <v>0</v>
      </c>
      <c r="H1416" s="35"/>
      <c r="I1416" s="31"/>
      <c r="J1416" s="156">
        <v>0</v>
      </c>
    </row>
    <row r="1417" spans="1:10" ht="15.75" hidden="1" thickBot="1" x14ac:dyDescent="0.3">
      <c r="A1417" s="222"/>
      <c r="B1417" s="225"/>
      <c r="C1417" s="36" t="s">
        <v>486</v>
      </c>
      <c r="D1417" s="36" t="s">
        <v>150</v>
      </c>
      <c r="E1417" s="37">
        <v>0.67</v>
      </c>
      <c r="F1417" s="31">
        <v>0</v>
      </c>
      <c r="G1417" s="31">
        <f t="shared" si="23"/>
        <v>0</v>
      </c>
      <c r="H1417" s="35"/>
      <c r="I1417" s="31"/>
      <c r="J1417" s="156">
        <v>0</v>
      </c>
    </row>
    <row r="1418" spans="1:10" ht="15.75" hidden="1" thickBot="1" x14ac:dyDescent="0.3">
      <c r="A1418" s="222"/>
      <c r="B1418" s="225"/>
      <c r="C1418" s="36" t="s">
        <v>487</v>
      </c>
      <c r="D1418" s="36" t="s">
        <v>150</v>
      </c>
      <c r="E1418" s="37">
        <v>1.05</v>
      </c>
      <c r="F1418" s="31">
        <v>0</v>
      </c>
      <c r="G1418" s="31">
        <f t="shared" si="23"/>
        <v>0</v>
      </c>
      <c r="H1418" s="35"/>
      <c r="I1418" s="31"/>
      <c r="J1418" s="156">
        <v>0</v>
      </c>
    </row>
    <row r="1419" spans="1:10" ht="15.75" hidden="1" thickBot="1" x14ac:dyDescent="0.3">
      <c r="A1419" s="222"/>
      <c r="B1419" s="225"/>
      <c r="C1419" s="36" t="s">
        <v>488</v>
      </c>
      <c r="D1419" s="36" t="s">
        <v>20</v>
      </c>
      <c r="E1419" s="37">
        <v>2.67</v>
      </c>
      <c r="F1419" s="31">
        <v>0</v>
      </c>
      <c r="G1419" s="31">
        <f t="shared" si="23"/>
        <v>0</v>
      </c>
      <c r="H1419" s="35"/>
      <c r="I1419" s="31"/>
      <c r="J1419" s="156">
        <v>0</v>
      </c>
    </row>
    <row r="1420" spans="1:10" ht="15.75" hidden="1" thickBot="1" x14ac:dyDescent="0.3">
      <c r="A1420" s="222"/>
      <c r="B1420" s="225"/>
      <c r="C1420" s="36" t="s">
        <v>489</v>
      </c>
      <c r="D1420" s="36" t="s">
        <v>150</v>
      </c>
      <c r="E1420" s="37">
        <v>0.66669999999999996</v>
      </c>
      <c r="F1420" s="31">
        <v>0</v>
      </c>
      <c r="G1420" s="31">
        <f t="shared" si="23"/>
        <v>0</v>
      </c>
      <c r="H1420" s="35"/>
      <c r="I1420" s="31"/>
      <c r="J1420" s="156">
        <v>0</v>
      </c>
    </row>
    <row r="1421" spans="1:10" ht="26.25" hidden="1" thickBot="1" x14ac:dyDescent="0.3">
      <c r="A1421" s="222"/>
      <c r="B1421" s="225"/>
      <c r="C1421" s="36" t="s">
        <v>490</v>
      </c>
      <c r="D1421" s="36" t="s">
        <v>94</v>
      </c>
      <c r="E1421" s="37">
        <v>1.05</v>
      </c>
      <c r="F1421" s="34" t="s">
        <v>572</v>
      </c>
      <c r="G1421" s="31" t="str">
        <f t="shared" si="23"/>
        <v/>
      </c>
      <c r="H1421" s="35"/>
      <c r="I1421" s="31"/>
      <c r="J1421" s="156">
        <v>0</v>
      </c>
    </row>
    <row r="1422" spans="1:10" ht="15.75" hidden="1" thickBot="1" x14ac:dyDescent="0.3">
      <c r="A1422" s="223"/>
      <c r="B1422" s="226"/>
      <c r="C1422" s="36"/>
      <c r="D1422" s="36"/>
      <c r="E1422" s="37"/>
      <c r="F1422" s="31" t="s">
        <v>572</v>
      </c>
      <c r="G1422" s="31" t="str">
        <f t="shared" si="23"/>
        <v/>
      </c>
      <c r="H1422" s="35"/>
      <c r="I1422" s="31"/>
      <c r="J1422" s="156">
        <v>0</v>
      </c>
    </row>
    <row r="1423" spans="1:10" ht="15.75" hidden="1" thickBot="1" x14ac:dyDescent="0.3">
      <c r="A1423" s="221" t="s">
        <v>491</v>
      </c>
      <c r="B1423" s="224" t="str">
        <f>INDEX(Orçamentária!A:B,MATCH(Composições!A1423,Orçamentária!A:A,0),2)</f>
        <v>Eletrocalha 200x100 mm</v>
      </c>
      <c r="C1423" s="41"/>
      <c r="D1423" s="26" t="str">
        <f>TRIM(INDEX(Orçamentária!C:C,MATCH(Composições!A1423,Orçamentária!A:A,0),1))</f>
        <v>m</v>
      </c>
      <c r="E1423" s="27"/>
      <c r="F1423" s="42" t="s">
        <v>572</v>
      </c>
      <c r="G1423" s="28" t="str">
        <f t="shared" si="23"/>
        <v/>
      </c>
      <c r="H1423" s="29"/>
      <c r="I1423" s="30"/>
      <c r="J1423" s="156">
        <v>0</v>
      </c>
    </row>
    <row r="1424" spans="1:10" ht="15.75" hidden="1" thickBot="1" x14ac:dyDescent="0.3">
      <c r="A1424" s="222"/>
      <c r="B1424" s="225"/>
      <c r="C1424" s="32"/>
      <c r="D1424" s="32"/>
      <c r="E1424" s="33"/>
      <c r="F1424" s="43" t="s">
        <v>572</v>
      </c>
      <c r="G1424" s="31" t="str">
        <f t="shared" si="23"/>
        <v/>
      </c>
      <c r="H1424" s="35"/>
      <c r="I1424" s="31"/>
      <c r="J1424" s="156">
        <v>0</v>
      </c>
    </row>
    <row r="1425" spans="1:10" ht="15.75" hidden="1" thickBot="1" x14ac:dyDescent="0.3">
      <c r="A1425" s="222"/>
      <c r="B1425" s="225"/>
      <c r="C1425" s="36" t="s">
        <v>30</v>
      </c>
      <c r="D1425" s="36" t="s">
        <v>12</v>
      </c>
      <c r="E1425" s="37">
        <v>0.6</v>
      </c>
      <c r="F1425" s="31">
        <v>22.268000000000001</v>
      </c>
      <c r="G1425" s="31">
        <f t="shared" si="23"/>
        <v>13.360799999999999</v>
      </c>
      <c r="H1425" s="39">
        <f>SUM(G1425:G1436)</f>
        <v>24.540879750000002</v>
      </c>
      <c r="I1425" s="40"/>
      <c r="J1425" s="156">
        <v>0</v>
      </c>
    </row>
    <row r="1426" spans="1:10" ht="15.75" hidden="1" thickBot="1" x14ac:dyDescent="0.3">
      <c r="A1426" s="222"/>
      <c r="B1426" s="225"/>
      <c r="C1426" s="36" t="s">
        <v>74</v>
      </c>
      <c r="D1426" s="47" t="s">
        <v>12</v>
      </c>
      <c r="E1426" s="37">
        <v>0.6</v>
      </c>
      <c r="F1426" s="31">
        <v>17.366</v>
      </c>
      <c r="G1426" s="31">
        <f t="shared" si="23"/>
        <v>10.419599999999999</v>
      </c>
      <c r="H1426" s="35"/>
      <c r="I1426" s="31"/>
      <c r="J1426" s="156">
        <v>0</v>
      </c>
    </row>
    <row r="1427" spans="1:10" ht="26.25" hidden="1" thickBot="1" x14ac:dyDescent="0.3">
      <c r="A1427" s="222"/>
      <c r="B1427" s="225"/>
      <c r="C1427" s="36" t="s">
        <v>481</v>
      </c>
      <c r="D1427" s="36" t="s">
        <v>150</v>
      </c>
      <c r="E1427" s="37">
        <v>1.3332999999999999</v>
      </c>
      <c r="F1427" s="31">
        <v>0</v>
      </c>
      <c r="G1427" s="31">
        <f t="shared" si="23"/>
        <v>0</v>
      </c>
      <c r="H1427" s="62"/>
      <c r="I1427" s="1"/>
      <c r="J1427" s="156">
        <v>0</v>
      </c>
    </row>
    <row r="1428" spans="1:10" ht="26.25" hidden="1" thickBot="1" x14ac:dyDescent="0.3">
      <c r="A1428" s="222"/>
      <c r="B1428" s="225"/>
      <c r="C1428" s="36" t="s">
        <v>492</v>
      </c>
      <c r="D1428" s="36" t="s">
        <v>94</v>
      </c>
      <c r="E1428" s="37">
        <v>1.05</v>
      </c>
      <c r="F1428" s="34" t="s">
        <v>572</v>
      </c>
      <c r="G1428" s="31" t="str">
        <f t="shared" si="23"/>
        <v/>
      </c>
      <c r="H1428" s="35"/>
      <c r="I1428" s="31"/>
      <c r="J1428" s="156">
        <v>0</v>
      </c>
    </row>
    <row r="1429" spans="1:10" ht="15.75" hidden="1" thickBot="1" x14ac:dyDescent="0.3">
      <c r="A1429" s="222"/>
      <c r="B1429" s="225"/>
      <c r="C1429" s="36" t="s">
        <v>483</v>
      </c>
      <c r="D1429" s="36" t="s">
        <v>94</v>
      </c>
      <c r="E1429" s="37">
        <v>1.6</v>
      </c>
      <c r="F1429" s="31">
        <v>0</v>
      </c>
      <c r="G1429" s="31">
        <f t="shared" ref="G1429:G1492" si="24">IF(ISNUMBER(F1429),E1429*F1429,"")</f>
        <v>0</v>
      </c>
      <c r="H1429" s="35"/>
      <c r="I1429" s="31"/>
      <c r="J1429" s="156">
        <v>0</v>
      </c>
    </row>
    <row r="1430" spans="1:10" ht="15.75" hidden="1" thickBot="1" x14ac:dyDescent="0.3">
      <c r="A1430" s="222"/>
      <c r="B1430" s="225"/>
      <c r="C1430" s="36" t="s">
        <v>484</v>
      </c>
      <c r="D1430" s="36" t="s">
        <v>299</v>
      </c>
      <c r="E1430" s="37">
        <v>5.3367000000000004</v>
      </c>
      <c r="F1430" s="34">
        <v>0.14249999999999999</v>
      </c>
      <c r="G1430" s="31">
        <f t="shared" si="24"/>
        <v>0.76047975000000001</v>
      </c>
      <c r="H1430" s="35"/>
      <c r="I1430" s="31"/>
      <c r="J1430" s="156">
        <v>0</v>
      </c>
    </row>
    <row r="1431" spans="1:10" ht="15.75" hidden="1" thickBot="1" x14ac:dyDescent="0.3">
      <c r="A1431" s="222"/>
      <c r="B1431" s="225"/>
      <c r="C1431" s="36" t="s">
        <v>485</v>
      </c>
      <c r="D1431" s="36" t="s">
        <v>150</v>
      </c>
      <c r="E1431" s="37">
        <v>5.34</v>
      </c>
      <c r="F1431" s="31">
        <v>0</v>
      </c>
      <c r="G1431" s="31">
        <f t="shared" si="24"/>
        <v>0</v>
      </c>
      <c r="H1431" s="35"/>
      <c r="I1431" s="31"/>
      <c r="J1431" s="156">
        <v>0</v>
      </c>
    </row>
    <row r="1432" spans="1:10" ht="15.75" hidden="1" thickBot="1" x14ac:dyDescent="0.3">
      <c r="A1432" s="222"/>
      <c r="B1432" s="225"/>
      <c r="C1432" s="36" t="s">
        <v>493</v>
      </c>
      <c r="D1432" s="36" t="s">
        <v>150</v>
      </c>
      <c r="E1432" s="37">
        <v>0.67</v>
      </c>
      <c r="F1432" s="31">
        <v>0</v>
      </c>
      <c r="G1432" s="31">
        <f t="shared" si="24"/>
        <v>0</v>
      </c>
      <c r="H1432" s="35"/>
      <c r="I1432" s="31"/>
      <c r="J1432" s="156">
        <v>0</v>
      </c>
    </row>
    <row r="1433" spans="1:10" ht="15.75" hidden="1" thickBot="1" x14ac:dyDescent="0.3">
      <c r="A1433" s="222"/>
      <c r="B1433" s="225"/>
      <c r="C1433" s="36" t="s">
        <v>487</v>
      </c>
      <c r="D1433" s="36" t="s">
        <v>150</v>
      </c>
      <c r="E1433" s="37">
        <v>1.3332999999999999</v>
      </c>
      <c r="F1433" s="31">
        <v>0</v>
      </c>
      <c r="G1433" s="31">
        <f t="shared" si="24"/>
        <v>0</v>
      </c>
      <c r="H1433" s="35"/>
      <c r="I1433" s="31"/>
      <c r="J1433" s="156">
        <v>0</v>
      </c>
    </row>
    <row r="1434" spans="1:10" ht="15.75" hidden="1" thickBot="1" x14ac:dyDescent="0.3">
      <c r="A1434" s="222"/>
      <c r="B1434" s="225"/>
      <c r="C1434" s="36" t="s">
        <v>488</v>
      </c>
      <c r="D1434" s="36" t="s">
        <v>20</v>
      </c>
      <c r="E1434" s="37">
        <v>2.67</v>
      </c>
      <c r="F1434" s="31">
        <v>0</v>
      </c>
      <c r="G1434" s="31">
        <f t="shared" si="24"/>
        <v>0</v>
      </c>
      <c r="H1434" s="35"/>
      <c r="I1434" s="31"/>
      <c r="J1434" s="156">
        <v>0</v>
      </c>
    </row>
    <row r="1435" spans="1:10" ht="15.75" hidden="1" thickBot="1" x14ac:dyDescent="0.3">
      <c r="A1435" s="222"/>
      <c r="B1435" s="225"/>
      <c r="C1435" s="36" t="s">
        <v>494</v>
      </c>
      <c r="D1435" s="36" t="s">
        <v>150</v>
      </c>
      <c r="E1435" s="37">
        <v>0.67</v>
      </c>
      <c r="F1435" s="31">
        <v>0</v>
      </c>
      <c r="G1435" s="31">
        <f t="shared" si="24"/>
        <v>0</v>
      </c>
      <c r="H1435" s="35"/>
      <c r="I1435" s="31"/>
      <c r="J1435" s="156">
        <v>0</v>
      </c>
    </row>
    <row r="1436" spans="1:10" ht="26.25" hidden="1" thickBot="1" x14ac:dyDescent="0.3">
      <c r="A1436" s="222"/>
      <c r="B1436" s="225"/>
      <c r="C1436" s="36" t="s">
        <v>495</v>
      </c>
      <c r="D1436" s="36" t="s">
        <v>94</v>
      </c>
      <c r="E1436" s="37">
        <v>1.05</v>
      </c>
      <c r="F1436" s="34" t="s">
        <v>572</v>
      </c>
      <c r="G1436" s="31" t="str">
        <f t="shared" si="24"/>
        <v/>
      </c>
      <c r="H1436" s="35"/>
      <c r="I1436" s="31"/>
      <c r="J1436" s="156">
        <v>0</v>
      </c>
    </row>
    <row r="1437" spans="1:10" ht="15.75" hidden="1" thickBot="1" x14ac:dyDescent="0.3">
      <c r="A1437" s="223"/>
      <c r="B1437" s="226"/>
      <c r="C1437" s="36"/>
      <c r="D1437" s="36"/>
      <c r="E1437" s="37"/>
      <c r="F1437" s="31" t="s">
        <v>572</v>
      </c>
      <c r="G1437" s="31" t="str">
        <f t="shared" si="24"/>
        <v/>
      </c>
      <c r="H1437" s="35"/>
      <c r="I1437" s="31"/>
      <c r="J1437" s="156">
        <v>0</v>
      </c>
    </row>
    <row r="1438" spans="1:10" ht="15.75" hidden="1" thickBot="1" x14ac:dyDescent="0.3">
      <c r="A1438" s="221" t="s">
        <v>496</v>
      </c>
      <c r="B1438" s="224" t="str">
        <f>INDEX(Orçamentária!A:B,MATCH(Composições!A1438,Orçamentária!A:A,0),2)</f>
        <v>Eletrocalha 200x50 mm</v>
      </c>
      <c r="C1438" s="41"/>
      <c r="D1438" s="26" t="str">
        <f>TRIM(INDEX(Orçamentária!C:C,MATCH(Composições!A1438,Orçamentária!A:A,0),1))</f>
        <v>m</v>
      </c>
      <c r="E1438" s="27"/>
      <c r="F1438" s="42" t="s">
        <v>572</v>
      </c>
      <c r="G1438" s="28" t="str">
        <f t="shared" si="24"/>
        <v/>
      </c>
      <c r="H1438" s="29"/>
      <c r="I1438" s="30"/>
      <c r="J1438" s="156">
        <v>0</v>
      </c>
    </row>
    <row r="1439" spans="1:10" ht="15.75" hidden="1" thickBot="1" x14ac:dyDescent="0.3">
      <c r="A1439" s="222"/>
      <c r="B1439" s="225"/>
      <c r="C1439" s="32"/>
      <c r="D1439" s="32"/>
      <c r="E1439" s="33"/>
      <c r="F1439" s="43" t="s">
        <v>572</v>
      </c>
      <c r="G1439" s="31" t="str">
        <f t="shared" si="24"/>
        <v/>
      </c>
      <c r="H1439" s="35"/>
      <c r="I1439" s="31"/>
      <c r="J1439" s="156">
        <v>0</v>
      </c>
    </row>
    <row r="1440" spans="1:10" ht="15.75" hidden="1" thickBot="1" x14ac:dyDescent="0.3">
      <c r="A1440" s="222"/>
      <c r="B1440" s="225"/>
      <c r="C1440" s="36" t="s">
        <v>30</v>
      </c>
      <c r="D1440" s="36" t="s">
        <v>12</v>
      </c>
      <c r="E1440" s="37">
        <v>0.5</v>
      </c>
      <c r="F1440" s="31">
        <v>22.268000000000001</v>
      </c>
      <c r="G1440" s="31">
        <f t="shared" si="24"/>
        <v>11.134</v>
      </c>
      <c r="H1440" s="39">
        <f>SUM(G1440:G1451)</f>
        <v>20.577479750000002</v>
      </c>
      <c r="I1440" s="40"/>
      <c r="J1440" s="156">
        <v>0</v>
      </c>
    </row>
    <row r="1441" spans="1:10" ht="15.75" hidden="1" thickBot="1" x14ac:dyDescent="0.3">
      <c r="A1441" s="222"/>
      <c r="B1441" s="225"/>
      <c r="C1441" s="36" t="s">
        <v>74</v>
      </c>
      <c r="D1441" s="47" t="s">
        <v>12</v>
      </c>
      <c r="E1441" s="37">
        <v>0.5</v>
      </c>
      <c r="F1441" s="31">
        <v>17.366</v>
      </c>
      <c r="G1441" s="31">
        <f t="shared" si="24"/>
        <v>8.6829999999999998</v>
      </c>
      <c r="H1441" s="35"/>
      <c r="I1441" s="31"/>
      <c r="J1441" s="156">
        <v>0</v>
      </c>
    </row>
    <row r="1442" spans="1:10" ht="26.25" hidden="1" thickBot="1" x14ac:dyDescent="0.3">
      <c r="A1442" s="222"/>
      <c r="B1442" s="225"/>
      <c r="C1442" s="36" t="s">
        <v>481</v>
      </c>
      <c r="D1442" s="36" t="s">
        <v>150</v>
      </c>
      <c r="E1442" s="37">
        <v>1.3332999999999999</v>
      </c>
      <c r="F1442" s="31">
        <v>0</v>
      </c>
      <c r="G1442" s="31">
        <f t="shared" si="24"/>
        <v>0</v>
      </c>
      <c r="H1442" s="62"/>
      <c r="I1442" s="1"/>
      <c r="J1442" s="156">
        <v>0</v>
      </c>
    </row>
    <row r="1443" spans="1:10" ht="26.25" hidden="1" thickBot="1" x14ac:dyDescent="0.3">
      <c r="A1443" s="222"/>
      <c r="B1443" s="225"/>
      <c r="C1443" s="36" t="s">
        <v>497</v>
      </c>
      <c r="D1443" s="36" t="s">
        <v>94</v>
      </c>
      <c r="E1443" s="37">
        <v>1.05</v>
      </c>
      <c r="F1443" s="34" t="s">
        <v>572</v>
      </c>
      <c r="G1443" s="31" t="str">
        <f t="shared" si="24"/>
        <v/>
      </c>
      <c r="H1443" s="35"/>
      <c r="I1443" s="31"/>
      <c r="J1443" s="156">
        <v>0</v>
      </c>
    </row>
    <row r="1444" spans="1:10" ht="15.75" hidden="1" thickBot="1" x14ac:dyDescent="0.3">
      <c r="A1444" s="222"/>
      <c r="B1444" s="225"/>
      <c r="C1444" s="36" t="s">
        <v>483</v>
      </c>
      <c r="D1444" s="36" t="s">
        <v>94</v>
      </c>
      <c r="E1444" s="37">
        <v>1.6</v>
      </c>
      <c r="F1444" s="31">
        <v>0</v>
      </c>
      <c r="G1444" s="31">
        <f t="shared" si="24"/>
        <v>0</v>
      </c>
      <c r="H1444" s="35"/>
      <c r="I1444" s="31"/>
      <c r="J1444" s="156">
        <v>0</v>
      </c>
    </row>
    <row r="1445" spans="1:10" ht="15.75" hidden="1" thickBot="1" x14ac:dyDescent="0.3">
      <c r="A1445" s="222"/>
      <c r="B1445" s="225"/>
      <c r="C1445" s="36" t="s">
        <v>484</v>
      </c>
      <c r="D1445" s="36" t="s">
        <v>299</v>
      </c>
      <c r="E1445" s="37">
        <v>5.3367000000000004</v>
      </c>
      <c r="F1445" s="34">
        <v>0.14249999999999999</v>
      </c>
      <c r="G1445" s="31">
        <f t="shared" si="24"/>
        <v>0.76047975000000001</v>
      </c>
      <c r="H1445" s="35"/>
      <c r="I1445" s="31"/>
      <c r="J1445" s="156">
        <v>0</v>
      </c>
    </row>
    <row r="1446" spans="1:10" ht="15.75" hidden="1" thickBot="1" x14ac:dyDescent="0.3">
      <c r="A1446" s="222"/>
      <c r="B1446" s="225"/>
      <c r="C1446" s="36" t="s">
        <v>485</v>
      </c>
      <c r="D1446" s="36" t="s">
        <v>150</v>
      </c>
      <c r="E1446" s="37">
        <v>5.34</v>
      </c>
      <c r="F1446" s="31">
        <v>0</v>
      </c>
      <c r="G1446" s="31">
        <f t="shared" si="24"/>
        <v>0</v>
      </c>
      <c r="H1446" s="35"/>
      <c r="I1446" s="31"/>
      <c r="J1446" s="156">
        <v>0</v>
      </c>
    </row>
    <row r="1447" spans="1:10" ht="15.75" hidden="1" thickBot="1" x14ac:dyDescent="0.3">
      <c r="A1447" s="222"/>
      <c r="B1447" s="225"/>
      <c r="C1447" s="36" t="s">
        <v>498</v>
      </c>
      <c r="D1447" s="36" t="s">
        <v>150</v>
      </c>
      <c r="E1447" s="37">
        <v>0.67</v>
      </c>
      <c r="F1447" s="31">
        <v>0</v>
      </c>
      <c r="G1447" s="31">
        <f t="shared" si="24"/>
        <v>0</v>
      </c>
      <c r="H1447" s="35"/>
      <c r="I1447" s="31"/>
      <c r="J1447" s="156">
        <v>0</v>
      </c>
    </row>
    <row r="1448" spans="1:10" ht="15.75" hidden="1" thickBot="1" x14ac:dyDescent="0.3">
      <c r="A1448" s="222"/>
      <c r="B1448" s="225"/>
      <c r="C1448" s="36" t="s">
        <v>487</v>
      </c>
      <c r="D1448" s="36" t="s">
        <v>150</v>
      </c>
      <c r="E1448" s="37">
        <v>1.3332999999999999</v>
      </c>
      <c r="F1448" s="31">
        <v>0</v>
      </c>
      <c r="G1448" s="31">
        <f t="shared" si="24"/>
        <v>0</v>
      </c>
      <c r="H1448" s="35"/>
      <c r="I1448" s="31"/>
      <c r="J1448" s="156">
        <v>0</v>
      </c>
    </row>
    <row r="1449" spans="1:10" ht="15.75" hidden="1" thickBot="1" x14ac:dyDescent="0.3">
      <c r="A1449" s="222"/>
      <c r="B1449" s="225"/>
      <c r="C1449" s="36" t="s">
        <v>488</v>
      </c>
      <c r="D1449" s="36" t="s">
        <v>20</v>
      </c>
      <c r="E1449" s="37">
        <v>2.67</v>
      </c>
      <c r="F1449" s="31">
        <v>0</v>
      </c>
      <c r="G1449" s="31">
        <f t="shared" si="24"/>
        <v>0</v>
      </c>
      <c r="H1449" s="35"/>
      <c r="I1449" s="31"/>
      <c r="J1449" s="156">
        <v>0</v>
      </c>
    </row>
    <row r="1450" spans="1:10" ht="15.75" hidden="1" thickBot="1" x14ac:dyDescent="0.3">
      <c r="A1450" s="222"/>
      <c r="B1450" s="225"/>
      <c r="C1450" s="36" t="s">
        <v>489</v>
      </c>
      <c r="D1450" s="36" t="s">
        <v>150</v>
      </c>
      <c r="E1450" s="37">
        <v>0.67</v>
      </c>
      <c r="F1450" s="31">
        <v>0</v>
      </c>
      <c r="G1450" s="31">
        <f t="shared" si="24"/>
        <v>0</v>
      </c>
      <c r="H1450" s="35"/>
      <c r="I1450" s="31"/>
      <c r="J1450" s="156">
        <v>0</v>
      </c>
    </row>
    <row r="1451" spans="1:10" ht="26.25" hidden="1" thickBot="1" x14ac:dyDescent="0.3">
      <c r="A1451" s="222"/>
      <c r="B1451" s="225"/>
      <c r="C1451" s="36" t="s">
        <v>495</v>
      </c>
      <c r="D1451" s="36" t="s">
        <v>94</v>
      </c>
      <c r="E1451" s="37">
        <v>1.05</v>
      </c>
      <c r="F1451" s="34" t="s">
        <v>572</v>
      </c>
      <c r="G1451" s="31" t="str">
        <f t="shared" si="24"/>
        <v/>
      </c>
      <c r="H1451" s="35"/>
      <c r="I1451" s="31"/>
      <c r="J1451" s="156">
        <v>0</v>
      </c>
    </row>
    <row r="1452" spans="1:10" ht="15.75" hidden="1" thickBot="1" x14ac:dyDescent="0.3">
      <c r="A1452" s="223"/>
      <c r="B1452" s="226"/>
      <c r="C1452" s="36"/>
      <c r="D1452" s="36"/>
      <c r="E1452" s="37"/>
      <c r="F1452" s="31" t="s">
        <v>572</v>
      </c>
      <c r="G1452" s="31" t="str">
        <f t="shared" si="24"/>
        <v/>
      </c>
      <c r="H1452" s="35"/>
      <c r="I1452" s="31"/>
      <c r="J1452" s="156">
        <v>0</v>
      </c>
    </row>
    <row r="1453" spans="1:10" ht="15.75" hidden="1" thickBot="1" x14ac:dyDescent="0.3">
      <c r="A1453" s="221" t="s">
        <v>499</v>
      </c>
      <c r="B1453" s="224" t="str">
        <f>INDEX(Orçamentária!A:B,MATCH(Composições!A1453,Orçamentária!A:A,0),2)</f>
        <v>Eletrocalha 300x100 mm</v>
      </c>
      <c r="C1453" s="41"/>
      <c r="D1453" s="26" t="str">
        <f>TRIM(INDEX(Orçamentária!C:C,MATCH(Composições!A1453,Orçamentária!A:A,0),1))</f>
        <v>m</v>
      </c>
      <c r="E1453" s="27"/>
      <c r="F1453" s="42" t="s">
        <v>572</v>
      </c>
      <c r="G1453" s="28" t="str">
        <f t="shared" si="24"/>
        <v/>
      </c>
      <c r="H1453" s="29"/>
      <c r="I1453" s="30"/>
      <c r="J1453" s="156">
        <v>0</v>
      </c>
    </row>
    <row r="1454" spans="1:10" ht="15.75" hidden="1" thickBot="1" x14ac:dyDescent="0.3">
      <c r="A1454" s="222"/>
      <c r="B1454" s="225"/>
      <c r="C1454" s="32"/>
      <c r="D1454" s="32"/>
      <c r="E1454" s="33"/>
      <c r="F1454" s="43" t="s">
        <v>572</v>
      </c>
      <c r="G1454" s="31" t="str">
        <f t="shared" si="24"/>
        <v/>
      </c>
      <c r="H1454" s="35"/>
      <c r="I1454" s="31"/>
      <c r="J1454" s="156">
        <v>0</v>
      </c>
    </row>
    <row r="1455" spans="1:10" ht="15.75" hidden="1" thickBot="1" x14ac:dyDescent="0.3">
      <c r="A1455" s="222"/>
      <c r="B1455" s="225"/>
      <c r="C1455" s="36" t="s">
        <v>30</v>
      </c>
      <c r="D1455" s="36" t="s">
        <v>12</v>
      </c>
      <c r="E1455" s="37">
        <v>0.65</v>
      </c>
      <c r="F1455" s="31">
        <v>22.268000000000001</v>
      </c>
      <c r="G1455" s="31">
        <f t="shared" si="24"/>
        <v>14.474200000000002</v>
      </c>
      <c r="H1455" s="39">
        <f>SUM(G1455:G1466)</f>
        <v>27.159079750000007</v>
      </c>
      <c r="I1455" s="40"/>
      <c r="J1455" s="156">
        <v>0</v>
      </c>
    </row>
    <row r="1456" spans="1:10" ht="15.75" hidden="1" thickBot="1" x14ac:dyDescent="0.3">
      <c r="A1456" s="222"/>
      <c r="B1456" s="225"/>
      <c r="C1456" s="36" t="s">
        <v>74</v>
      </c>
      <c r="D1456" s="47" t="s">
        <v>12</v>
      </c>
      <c r="E1456" s="37">
        <v>0.65</v>
      </c>
      <c r="F1456" s="31">
        <v>17.366</v>
      </c>
      <c r="G1456" s="31">
        <f t="shared" si="24"/>
        <v>11.2879</v>
      </c>
      <c r="H1456" s="35"/>
      <c r="I1456" s="31"/>
      <c r="J1456" s="156">
        <v>0</v>
      </c>
    </row>
    <row r="1457" spans="1:10" ht="26.25" hidden="1" thickBot="1" x14ac:dyDescent="0.3">
      <c r="A1457" s="222"/>
      <c r="B1457" s="225"/>
      <c r="C1457" s="36" t="s">
        <v>481</v>
      </c>
      <c r="D1457" s="36" t="s">
        <v>150</v>
      </c>
      <c r="E1457" s="37">
        <v>1.3332999999999999</v>
      </c>
      <c r="F1457" s="31">
        <v>0</v>
      </c>
      <c r="G1457" s="31">
        <f t="shared" si="24"/>
        <v>0</v>
      </c>
      <c r="H1457" s="62"/>
      <c r="I1457" s="1"/>
      <c r="J1457" s="156">
        <v>0</v>
      </c>
    </row>
    <row r="1458" spans="1:10" ht="26.25" hidden="1" thickBot="1" x14ac:dyDescent="0.3">
      <c r="A1458" s="222"/>
      <c r="B1458" s="225"/>
      <c r="C1458" s="36" t="s">
        <v>500</v>
      </c>
      <c r="D1458" s="36" t="s">
        <v>94</v>
      </c>
      <c r="E1458" s="37">
        <v>1.05</v>
      </c>
      <c r="F1458" s="34" t="s">
        <v>572</v>
      </c>
      <c r="G1458" s="31" t="str">
        <f t="shared" si="24"/>
        <v/>
      </c>
      <c r="H1458" s="35"/>
      <c r="I1458" s="31"/>
      <c r="J1458" s="156">
        <v>0</v>
      </c>
    </row>
    <row r="1459" spans="1:10" ht="15.75" hidden="1" thickBot="1" x14ac:dyDescent="0.3">
      <c r="A1459" s="222"/>
      <c r="B1459" s="225"/>
      <c r="C1459" s="36" t="s">
        <v>483</v>
      </c>
      <c r="D1459" s="36" t="s">
        <v>94</v>
      </c>
      <c r="E1459" s="37">
        <v>1.6</v>
      </c>
      <c r="F1459" s="31">
        <v>0</v>
      </c>
      <c r="G1459" s="31">
        <f t="shared" si="24"/>
        <v>0</v>
      </c>
      <c r="H1459" s="35"/>
      <c r="I1459" s="31"/>
      <c r="J1459" s="156">
        <v>0</v>
      </c>
    </row>
    <row r="1460" spans="1:10" ht="15.75" hidden="1" thickBot="1" x14ac:dyDescent="0.3">
      <c r="A1460" s="222"/>
      <c r="B1460" s="225"/>
      <c r="C1460" s="36" t="s">
        <v>484</v>
      </c>
      <c r="D1460" s="36" t="s">
        <v>299</v>
      </c>
      <c r="E1460" s="37">
        <v>5.3367000000000004</v>
      </c>
      <c r="F1460" s="34">
        <v>0.14249999999999999</v>
      </c>
      <c r="G1460" s="31">
        <f t="shared" si="24"/>
        <v>0.76047975000000001</v>
      </c>
      <c r="H1460" s="35"/>
      <c r="I1460" s="31"/>
      <c r="J1460" s="156">
        <v>0</v>
      </c>
    </row>
    <row r="1461" spans="1:10" ht="15.75" hidden="1" thickBot="1" x14ac:dyDescent="0.3">
      <c r="A1461" s="222"/>
      <c r="B1461" s="225"/>
      <c r="C1461" s="36" t="s">
        <v>485</v>
      </c>
      <c r="D1461" s="36" t="s">
        <v>150</v>
      </c>
      <c r="E1461" s="37">
        <v>5.34</v>
      </c>
      <c r="F1461" s="31">
        <v>0</v>
      </c>
      <c r="G1461" s="31">
        <f t="shared" si="24"/>
        <v>0</v>
      </c>
      <c r="H1461" s="35"/>
      <c r="I1461" s="31"/>
      <c r="J1461" s="156">
        <v>0</v>
      </c>
    </row>
    <row r="1462" spans="1:10" ht="15.75" hidden="1" thickBot="1" x14ac:dyDescent="0.3">
      <c r="A1462" s="222"/>
      <c r="B1462" s="225"/>
      <c r="C1462" s="36" t="s">
        <v>501</v>
      </c>
      <c r="D1462" s="36" t="s">
        <v>150</v>
      </c>
      <c r="E1462" s="37">
        <v>0.67</v>
      </c>
      <c r="F1462" s="31">
        <v>0.95</v>
      </c>
      <c r="G1462" s="31">
        <f t="shared" si="24"/>
        <v>0.63649999999999995</v>
      </c>
      <c r="H1462" s="35"/>
      <c r="I1462" s="31"/>
      <c r="J1462" s="156">
        <v>0</v>
      </c>
    </row>
    <row r="1463" spans="1:10" ht="15.75" hidden="1" thickBot="1" x14ac:dyDescent="0.3">
      <c r="A1463" s="222"/>
      <c r="B1463" s="225"/>
      <c r="C1463" s="36" t="s">
        <v>487</v>
      </c>
      <c r="D1463" s="36" t="s">
        <v>150</v>
      </c>
      <c r="E1463" s="37">
        <v>1.3332999999999999</v>
      </c>
      <c r="F1463" s="31">
        <v>0</v>
      </c>
      <c r="G1463" s="31">
        <f t="shared" si="24"/>
        <v>0</v>
      </c>
      <c r="H1463" s="35"/>
      <c r="I1463" s="31"/>
      <c r="J1463" s="156">
        <v>0</v>
      </c>
    </row>
    <row r="1464" spans="1:10" ht="15.75" hidden="1" thickBot="1" x14ac:dyDescent="0.3">
      <c r="A1464" s="222"/>
      <c r="B1464" s="225"/>
      <c r="C1464" s="36" t="s">
        <v>488</v>
      </c>
      <c r="D1464" s="36" t="s">
        <v>20</v>
      </c>
      <c r="E1464" s="37">
        <v>2.67</v>
      </c>
      <c r="F1464" s="31">
        <v>0</v>
      </c>
      <c r="G1464" s="31">
        <f t="shared" si="24"/>
        <v>0</v>
      </c>
      <c r="H1464" s="35"/>
      <c r="I1464" s="31"/>
      <c r="J1464" s="156">
        <v>0</v>
      </c>
    </row>
    <row r="1465" spans="1:10" ht="15.75" hidden="1" thickBot="1" x14ac:dyDescent="0.3">
      <c r="A1465" s="222"/>
      <c r="B1465" s="225"/>
      <c r="C1465" s="36" t="s">
        <v>494</v>
      </c>
      <c r="D1465" s="36" t="s">
        <v>150</v>
      </c>
      <c r="E1465" s="37">
        <v>0.67</v>
      </c>
      <c r="F1465" s="31">
        <v>0</v>
      </c>
      <c r="G1465" s="31">
        <f t="shared" si="24"/>
        <v>0</v>
      </c>
      <c r="H1465" s="35"/>
      <c r="I1465" s="31"/>
      <c r="J1465" s="156">
        <v>0</v>
      </c>
    </row>
    <row r="1466" spans="1:10" ht="26.25" hidden="1" thickBot="1" x14ac:dyDescent="0.3">
      <c r="A1466" s="222"/>
      <c r="B1466" s="225"/>
      <c r="C1466" s="36" t="s">
        <v>502</v>
      </c>
      <c r="D1466" s="36" t="s">
        <v>94</v>
      </c>
      <c r="E1466" s="37">
        <v>1.05</v>
      </c>
      <c r="F1466" s="34" t="s">
        <v>572</v>
      </c>
      <c r="G1466" s="31" t="str">
        <f t="shared" si="24"/>
        <v/>
      </c>
      <c r="H1466" s="35"/>
      <c r="I1466" s="31"/>
      <c r="J1466" s="156">
        <v>0</v>
      </c>
    </row>
    <row r="1467" spans="1:10" ht="15.75" hidden="1" thickBot="1" x14ac:dyDescent="0.3">
      <c r="A1467" s="223"/>
      <c r="B1467" s="226"/>
      <c r="C1467" s="36"/>
      <c r="D1467" s="36"/>
      <c r="E1467" s="37"/>
      <c r="F1467" s="31" t="s">
        <v>572</v>
      </c>
      <c r="G1467" s="31" t="str">
        <f t="shared" si="24"/>
        <v/>
      </c>
      <c r="H1467" s="35"/>
      <c r="I1467" s="31"/>
      <c r="J1467" s="156">
        <v>0</v>
      </c>
    </row>
    <row r="1468" spans="1:10" ht="15.75" hidden="1" thickBot="1" x14ac:dyDescent="0.3">
      <c r="A1468" s="221" t="s">
        <v>503</v>
      </c>
      <c r="B1468" s="224" t="str">
        <f>INDEX(Orçamentária!A:B,MATCH(Composições!A1468,Orçamentária!A:A,0),2)</f>
        <v>Eletrocalha 300x50 mm</v>
      </c>
      <c r="C1468" s="41"/>
      <c r="D1468" s="26" t="str">
        <f>TRIM(INDEX(Orçamentária!C:C,MATCH(Composições!A1468,Orçamentária!A:A,0),1))</f>
        <v>m</v>
      </c>
      <c r="E1468" s="27"/>
      <c r="F1468" s="42" t="s">
        <v>572</v>
      </c>
      <c r="G1468" s="28" t="str">
        <f t="shared" si="24"/>
        <v/>
      </c>
      <c r="H1468" s="29"/>
      <c r="I1468" s="30"/>
      <c r="J1468" s="156">
        <v>0</v>
      </c>
    </row>
    <row r="1469" spans="1:10" ht="15.75" hidden="1" thickBot="1" x14ac:dyDescent="0.3">
      <c r="A1469" s="222"/>
      <c r="B1469" s="225"/>
      <c r="C1469" s="32"/>
      <c r="D1469" s="32"/>
      <c r="E1469" s="33"/>
      <c r="F1469" s="43" t="s">
        <v>572</v>
      </c>
      <c r="G1469" s="31" t="str">
        <f t="shared" si="24"/>
        <v/>
      </c>
      <c r="H1469" s="35"/>
      <c r="I1469" s="31"/>
      <c r="J1469" s="156">
        <v>0</v>
      </c>
    </row>
    <row r="1470" spans="1:10" ht="15.75" hidden="1" thickBot="1" x14ac:dyDescent="0.3">
      <c r="A1470" s="222"/>
      <c r="B1470" s="225"/>
      <c r="C1470" s="36" t="s">
        <v>30</v>
      </c>
      <c r="D1470" s="36" t="s">
        <v>12</v>
      </c>
      <c r="E1470" s="37">
        <v>0.55000000000000004</v>
      </c>
      <c r="F1470" s="31">
        <v>22.268000000000001</v>
      </c>
      <c r="G1470" s="31">
        <f t="shared" si="24"/>
        <v>12.247400000000001</v>
      </c>
      <c r="H1470" s="39">
        <f>SUM(G1470:G1481)</f>
        <v>23.195679750000007</v>
      </c>
      <c r="I1470" s="40"/>
      <c r="J1470" s="156">
        <v>0</v>
      </c>
    </row>
    <row r="1471" spans="1:10" ht="15.75" hidden="1" thickBot="1" x14ac:dyDescent="0.3">
      <c r="A1471" s="222"/>
      <c r="B1471" s="225"/>
      <c r="C1471" s="36" t="s">
        <v>74</v>
      </c>
      <c r="D1471" s="47" t="s">
        <v>12</v>
      </c>
      <c r="E1471" s="37">
        <v>0.55000000000000004</v>
      </c>
      <c r="F1471" s="31">
        <v>17.366</v>
      </c>
      <c r="G1471" s="31">
        <f t="shared" si="24"/>
        <v>9.5513000000000012</v>
      </c>
      <c r="H1471" s="35"/>
      <c r="I1471" s="31"/>
      <c r="J1471" s="156">
        <v>0</v>
      </c>
    </row>
    <row r="1472" spans="1:10" ht="26.25" hidden="1" thickBot="1" x14ac:dyDescent="0.3">
      <c r="A1472" s="222"/>
      <c r="B1472" s="225"/>
      <c r="C1472" s="36" t="s">
        <v>481</v>
      </c>
      <c r="D1472" s="36" t="s">
        <v>150</v>
      </c>
      <c r="E1472" s="37">
        <v>1.3332999999999999</v>
      </c>
      <c r="F1472" s="31">
        <v>0</v>
      </c>
      <c r="G1472" s="31">
        <f t="shared" si="24"/>
        <v>0</v>
      </c>
      <c r="H1472" s="62"/>
      <c r="I1472" s="1"/>
      <c r="J1472" s="156">
        <v>0</v>
      </c>
    </row>
    <row r="1473" spans="1:10" ht="26.25" hidden="1" thickBot="1" x14ac:dyDescent="0.3">
      <c r="A1473" s="222"/>
      <c r="B1473" s="225"/>
      <c r="C1473" s="36" t="s">
        <v>504</v>
      </c>
      <c r="D1473" s="36" t="s">
        <v>94</v>
      </c>
      <c r="E1473" s="37">
        <v>1.05</v>
      </c>
      <c r="F1473" s="34" t="s">
        <v>572</v>
      </c>
      <c r="G1473" s="31" t="str">
        <f t="shared" si="24"/>
        <v/>
      </c>
      <c r="H1473" s="35"/>
      <c r="I1473" s="31"/>
      <c r="J1473" s="156">
        <v>0</v>
      </c>
    </row>
    <row r="1474" spans="1:10" ht="15.75" hidden="1" thickBot="1" x14ac:dyDescent="0.3">
      <c r="A1474" s="222"/>
      <c r="B1474" s="225"/>
      <c r="C1474" s="36" t="s">
        <v>483</v>
      </c>
      <c r="D1474" s="36" t="s">
        <v>94</v>
      </c>
      <c r="E1474" s="37">
        <v>1.6</v>
      </c>
      <c r="F1474" s="31">
        <v>0</v>
      </c>
      <c r="G1474" s="31">
        <f t="shared" si="24"/>
        <v>0</v>
      </c>
      <c r="H1474" s="35"/>
      <c r="I1474" s="31"/>
      <c r="J1474" s="156">
        <v>0</v>
      </c>
    </row>
    <row r="1475" spans="1:10" ht="15.75" hidden="1" thickBot="1" x14ac:dyDescent="0.3">
      <c r="A1475" s="222"/>
      <c r="B1475" s="225"/>
      <c r="C1475" s="36" t="s">
        <v>484</v>
      </c>
      <c r="D1475" s="36" t="s">
        <v>299</v>
      </c>
      <c r="E1475" s="37">
        <v>5.3367000000000004</v>
      </c>
      <c r="F1475" s="34">
        <v>0.14249999999999999</v>
      </c>
      <c r="G1475" s="31">
        <f t="shared" si="24"/>
        <v>0.76047975000000001</v>
      </c>
      <c r="H1475" s="35"/>
      <c r="I1475" s="31"/>
      <c r="J1475" s="156">
        <v>0</v>
      </c>
    </row>
    <row r="1476" spans="1:10" ht="15.75" hidden="1" thickBot="1" x14ac:dyDescent="0.3">
      <c r="A1476" s="222"/>
      <c r="B1476" s="225"/>
      <c r="C1476" s="36" t="s">
        <v>485</v>
      </c>
      <c r="D1476" s="36" t="s">
        <v>150</v>
      </c>
      <c r="E1476" s="37">
        <v>5.34</v>
      </c>
      <c r="F1476" s="31">
        <v>0</v>
      </c>
      <c r="G1476" s="31">
        <f t="shared" si="24"/>
        <v>0</v>
      </c>
      <c r="H1476" s="35"/>
      <c r="I1476" s="31"/>
      <c r="J1476" s="156">
        <v>0</v>
      </c>
    </row>
    <row r="1477" spans="1:10" ht="15.75" hidden="1" thickBot="1" x14ac:dyDescent="0.3">
      <c r="A1477" s="222"/>
      <c r="B1477" s="225"/>
      <c r="C1477" s="36" t="s">
        <v>505</v>
      </c>
      <c r="D1477" s="36" t="s">
        <v>150</v>
      </c>
      <c r="E1477" s="37">
        <v>0.67</v>
      </c>
      <c r="F1477" s="31">
        <v>0.95</v>
      </c>
      <c r="G1477" s="31">
        <f t="shared" si="24"/>
        <v>0.63649999999999995</v>
      </c>
      <c r="H1477" s="35"/>
      <c r="I1477" s="31"/>
      <c r="J1477" s="156">
        <v>0</v>
      </c>
    </row>
    <row r="1478" spans="1:10" ht="15.75" hidden="1" thickBot="1" x14ac:dyDescent="0.3">
      <c r="A1478" s="222"/>
      <c r="B1478" s="225"/>
      <c r="C1478" s="36" t="s">
        <v>487</v>
      </c>
      <c r="D1478" s="36" t="s">
        <v>150</v>
      </c>
      <c r="E1478" s="37">
        <v>1.3332999999999999</v>
      </c>
      <c r="F1478" s="31">
        <v>0</v>
      </c>
      <c r="G1478" s="31">
        <f t="shared" si="24"/>
        <v>0</v>
      </c>
      <c r="H1478" s="35"/>
      <c r="I1478" s="31"/>
      <c r="J1478" s="156">
        <v>0</v>
      </c>
    </row>
    <row r="1479" spans="1:10" ht="15.75" hidden="1" thickBot="1" x14ac:dyDescent="0.3">
      <c r="A1479" s="222"/>
      <c r="B1479" s="225"/>
      <c r="C1479" s="36" t="s">
        <v>488</v>
      </c>
      <c r="D1479" s="36" t="s">
        <v>20</v>
      </c>
      <c r="E1479" s="37">
        <v>2.67</v>
      </c>
      <c r="F1479" s="31">
        <v>0</v>
      </c>
      <c r="G1479" s="31">
        <f t="shared" si="24"/>
        <v>0</v>
      </c>
      <c r="H1479" s="35"/>
      <c r="I1479" s="31"/>
      <c r="J1479" s="156">
        <v>0</v>
      </c>
    </row>
    <row r="1480" spans="1:10" ht="15.75" hidden="1" thickBot="1" x14ac:dyDescent="0.3">
      <c r="A1480" s="222"/>
      <c r="B1480" s="225"/>
      <c r="C1480" s="36" t="s">
        <v>489</v>
      </c>
      <c r="D1480" s="36" t="s">
        <v>150</v>
      </c>
      <c r="E1480" s="37">
        <v>0.67</v>
      </c>
      <c r="F1480" s="31">
        <v>0</v>
      </c>
      <c r="G1480" s="31">
        <f t="shared" si="24"/>
        <v>0</v>
      </c>
      <c r="H1480" s="35"/>
      <c r="I1480" s="31"/>
      <c r="J1480" s="156">
        <v>0</v>
      </c>
    </row>
    <row r="1481" spans="1:10" ht="26.25" hidden="1" thickBot="1" x14ac:dyDescent="0.3">
      <c r="A1481" s="222"/>
      <c r="B1481" s="225"/>
      <c r="C1481" s="36" t="s">
        <v>502</v>
      </c>
      <c r="D1481" s="36" t="s">
        <v>94</v>
      </c>
      <c r="E1481" s="37">
        <v>1.05</v>
      </c>
      <c r="F1481" s="34" t="s">
        <v>572</v>
      </c>
      <c r="G1481" s="31" t="str">
        <f t="shared" si="24"/>
        <v/>
      </c>
      <c r="H1481" s="35"/>
      <c r="I1481" s="31"/>
      <c r="J1481" s="156">
        <v>0</v>
      </c>
    </row>
    <row r="1482" spans="1:10" ht="15.75" hidden="1" thickBot="1" x14ac:dyDescent="0.3">
      <c r="A1482" s="223"/>
      <c r="B1482" s="226"/>
      <c r="C1482" s="36"/>
      <c r="D1482" s="36"/>
      <c r="E1482" s="37"/>
      <c r="F1482" s="31" t="s">
        <v>572</v>
      </c>
      <c r="G1482" s="31" t="str">
        <f t="shared" si="24"/>
        <v/>
      </c>
      <c r="H1482" s="35"/>
      <c r="I1482" s="31"/>
      <c r="J1482" s="156">
        <v>0</v>
      </c>
    </row>
    <row r="1483" spans="1:10" ht="15.75" hidden="1" thickBot="1" x14ac:dyDescent="0.3">
      <c r="A1483" s="221" t="s">
        <v>506</v>
      </c>
      <c r="B1483" s="224" t="str">
        <f>INDEX(Orçamentária!A:B,MATCH(Composições!A1483,Orçamentária!A:A,0),2)</f>
        <v>Eletrocalha 400x50 mm</v>
      </c>
      <c r="C1483" s="41"/>
      <c r="D1483" s="26" t="str">
        <f>TRIM(INDEX(Orçamentária!C:C,MATCH(Composições!A1483,Orçamentária!A:A,0),1))</f>
        <v>m</v>
      </c>
      <c r="E1483" s="27"/>
      <c r="F1483" s="42" t="s">
        <v>572</v>
      </c>
      <c r="G1483" s="28" t="str">
        <f t="shared" si="24"/>
        <v/>
      </c>
      <c r="H1483" s="29"/>
      <c r="I1483" s="30"/>
      <c r="J1483" s="156">
        <v>0</v>
      </c>
    </row>
    <row r="1484" spans="1:10" ht="15.75" hidden="1" thickBot="1" x14ac:dyDescent="0.3">
      <c r="A1484" s="222"/>
      <c r="B1484" s="225"/>
      <c r="C1484" s="32"/>
      <c r="D1484" s="32"/>
      <c r="E1484" s="33"/>
      <c r="F1484" s="43" t="s">
        <v>572</v>
      </c>
      <c r="G1484" s="31" t="str">
        <f t="shared" si="24"/>
        <v/>
      </c>
      <c r="H1484" s="35"/>
      <c r="I1484" s="31"/>
      <c r="J1484" s="156">
        <v>0</v>
      </c>
    </row>
    <row r="1485" spans="1:10" ht="15.75" hidden="1" thickBot="1" x14ac:dyDescent="0.3">
      <c r="A1485" s="222"/>
      <c r="B1485" s="225"/>
      <c r="C1485" s="36" t="s">
        <v>30</v>
      </c>
      <c r="D1485" s="36" t="s">
        <v>12</v>
      </c>
      <c r="E1485" s="37">
        <v>0.55000000000000004</v>
      </c>
      <c r="F1485" s="31">
        <v>22.268000000000001</v>
      </c>
      <c r="G1485" s="31">
        <f t="shared" si="24"/>
        <v>12.247400000000001</v>
      </c>
      <c r="H1485" s="39">
        <f>SUM(G1485:G1496)</f>
        <v>23.195679750000007</v>
      </c>
      <c r="I1485" s="40"/>
      <c r="J1485" s="156">
        <v>0</v>
      </c>
    </row>
    <row r="1486" spans="1:10" ht="15.75" hidden="1" thickBot="1" x14ac:dyDescent="0.3">
      <c r="A1486" s="222"/>
      <c r="B1486" s="225"/>
      <c r="C1486" s="36" t="s">
        <v>74</v>
      </c>
      <c r="D1486" s="47" t="s">
        <v>12</v>
      </c>
      <c r="E1486" s="37">
        <v>0.55000000000000004</v>
      </c>
      <c r="F1486" s="31">
        <v>17.366</v>
      </c>
      <c r="G1486" s="31">
        <f t="shared" si="24"/>
        <v>9.5513000000000012</v>
      </c>
      <c r="H1486" s="35"/>
      <c r="I1486" s="31"/>
      <c r="J1486" s="156">
        <v>0</v>
      </c>
    </row>
    <row r="1487" spans="1:10" ht="26.25" hidden="1" thickBot="1" x14ac:dyDescent="0.3">
      <c r="A1487" s="222"/>
      <c r="B1487" s="225"/>
      <c r="C1487" s="36" t="s">
        <v>481</v>
      </c>
      <c r="D1487" s="36" t="s">
        <v>150</v>
      </c>
      <c r="E1487" s="37">
        <v>1.3332999999999999</v>
      </c>
      <c r="F1487" s="31">
        <v>0</v>
      </c>
      <c r="G1487" s="31">
        <f t="shared" si="24"/>
        <v>0</v>
      </c>
      <c r="H1487" s="62"/>
      <c r="I1487" s="1"/>
      <c r="J1487" s="156">
        <v>0</v>
      </c>
    </row>
    <row r="1488" spans="1:10" ht="26.25" hidden="1" thickBot="1" x14ac:dyDescent="0.3">
      <c r="A1488" s="222"/>
      <c r="B1488" s="225"/>
      <c r="C1488" s="36" t="s">
        <v>507</v>
      </c>
      <c r="D1488" s="36" t="s">
        <v>94</v>
      </c>
      <c r="E1488" s="37">
        <v>1.05</v>
      </c>
      <c r="F1488" s="34" t="s">
        <v>572</v>
      </c>
      <c r="G1488" s="31" t="str">
        <f t="shared" si="24"/>
        <v/>
      </c>
      <c r="H1488" s="35"/>
      <c r="I1488" s="31"/>
      <c r="J1488" s="156">
        <v>0</v>
      </c>
    </row>
    <row r="1489" spans="1:10" ht="15.75" hidden="1" thickBot="1" x14ac:dyDescent="0.3">
      <c r="A1489" s="222"/>
      <c r="B1489" s="225"/>
      <c r="C1489" s="36" t="s">
        <v>483</v>
      </c>
      <c r="D1489" s="36" t="s">
        <v>94</v>
      </c>
      <c r="E1489" s="37">
        <v>1.6</v>
      </c>
      <c r="F1489" s="31">
        <v>0</v>
      </c>
      <c r="G1489" s="31">
        <f t="shared" si="24"/>
        <v>0</v>
      </c>
      <c r="H1489" s="35"/>
      <c r="I1489" s="31"/>
      <c r="J1489" s="156">
        <v>0</v>
      </c>
    </row>
    <row r="1490" spans="1:10" ht="15.75" hidden="1" thickBot="1" x14ac:dyDescent="0.3">
      <c r="A1490" s="222"/>
      <c r="B1490" s="225"/>
      <c r="C1490" s="36" t="s">
        <v>484</v>
      </c>
      <c r="D1490" s="36" t="s">
        <v>299</v>
      </c>
      <c r="E1490" s="37">
        <v>5.3367000000000004</v>
      </c>
      <c r="F1490" s="34">
        <v>0.14249999999999999</v>
      </c>
      <c r="G1490" s="31">
        <f t="shared" si="24"/>
        <v>0.76047975000000001</v>
      </c>
      <c r="H1490" s="35"/>
      <c r="I1490" s="31"/>
      <c r="J1490" s="156">
        <v>0</v>
      </c>
    </row>
    <row r="1491" spans="1:10" ht="15.75" hidden="1" thickBot="1" x14ac:dyDescent="0.3">
      <c r="A1491" s="222"/>
      <c r="B1491" s="225"/>
      <c r="C1491" s="36" t="s">
        <v>485</v>
      </c>
      <c r="D1491" s="36" t="s">
        <v>150</v>
      </c>
      <c r="E1491" s="37">
        <v>5.34</v>
      </c>
      <c r="F1491" s="31">
        <v>0</v>
      </c>
      <c r="G1491" s="31">
        <f t="shared" si="24"/>
        <v>0</v>
      </c>
      <c r="H1491" s="35"/>
      <c r="I1491" s="31"/>
      <c r="J1491" s="156">
        <v>0</v>
      </c>
    </row>
    <row r="1492" spans="1:10" ht="15.75" hidden="1" thickBot="1" x14ac:dyDescent="0.3">
      <c r="A1492" s="222"/>
      <c r="B1492" s="225"/>
      <c r="C1492" s="36" t="s">
        <v>508</v>
      </c>
      <c r="D1492" s="36" t="s">
        <v>150</v>
      </c>
      <c r="E1492" s="37">
        <v>0.67</v>
      </c>
      <c r="F1492" s="31">
        <v>0.95</v>
      </c>
      <c r="G1492" s="31">
        <f t="shared" si="24"/>
        <v>0.63649999999999995</v>
      </c>
      <c r="H1492" s="35"/>
      <c r="I1492" s="31"/>
      <c r="J1492" s="156">
        <v>0</v>
      </c>
    </row>
    <row r="1493" spans="1:10" ht="15.75" hidden="1" thickBot="1" x14ac:dyDescent="0.3">
      <c r="A1493" s="222"/>
      <c r="B1493" s="225"/>
      <c r="C1493" s="36" t="s">
        <v>487</v>
      </c>
      <c r="D1493" s="36" t="s">
        <v>150</v>
      </c>
      <c r="E1493" s="37">
        <v>1.3332999999999999</v>
      </c>
      <c r="F1493" s="31">
        <v>0</v>
      </c>
      <c r="G1493" s="31">
        <f t="shared" ref="G1493:G1556" si="25">IF(ISNUMBER(F1493),E1493*F1493,"")</f>
        <v>0</v>
      </c>
      <c r="H1493" s="35"/>
      <c r="I1493" s="31"/>
      <c r="J1493" s="156">
        <v>0</v>
      </c>
    </row>
    <row r="1494" spans="1:10" ht="15.75" hidden="1" thickBot="1" x14ac:dyDescent="0.3">
      <c r="A1494" s="222"/>
      <c r="B1494" s="225"/>
      <c r="C1494" s="36" t="s">
        <v>488</v>
      </c>
      <c r="D1494" s="36" t="s">
        <v>20</v>
      </c>
      <c r="E1494" s="37">
        <v>2.67</v>
      </c>
      <c r="F1494" s="31">
        <v>0</v>
      </c>
      <c r="G1494" s="31">
        <f t="shared" si="25"/>
        <v>0</v>
      </c>
      <c r="H1494" s="35"/>
      <c r="I1494" s="31"/>
      <c r="J1494" s="156">
        <v>0</v>
      </c>
    </row>
    <row r="1495" spans="1:10" ht="15.75" hidden="1" thickBot="1" x14ac:dyDescent="0.3">
      <c r="A1495" s="222"/>
      <c r="B1495" s="225"/>
      <c r="C1495" s="36" t="s">
        <v>489</v>
      </c>
      <c r="D1495" s="36" t="s">
        <v>150</v>
      </c>
      <c r="E1495" s="37">
        <v>0.67</v>
      </c>
      <c r="F1495" s="31">
        <v>0</v>
      </c>
      <c r="G1495" s="31">
        <f t="shared" si="25"/>
        <v>0</v>
      </c>
      <c r="H1495" s="35"/>
      <c r="I1495" s="31"/>
      <c r="J1495" s="156">
        <v>0</v>
      </c>
    </row>
    <row r="1496" spans="1:10" ht="26.25" hidden="1" thickBot="1" x14ac:dyDescent="0.3">
      <c r="A1496" s="222"/>
      <c r="B1496" s="225"/>
      <c r="C1496" s="36" t="s">
        <v>509</v>
      </c>
      <c r="D1496" s="36" t="s">
        <v>94</v>
      </c>
      <c r="E1496" s="37">
        <v>1.05</v>
      </c>
      <c r="F1496" s="34" t="s">
        <v>572</v>
      </c>
      <c r="G1496" s="31" t="str">
        <f t="shared" si="25"/>
        <v/>
      </c>
      <c r="H1496" s="35"/>
      <c r="I1496" s="31"/>
      <c r="J1496" s="156">
        <v>0</v>
      </c>
    </row>
    <row r="1497" spans="1:10" ht="15.75" hidden="1" thickBot="1" x14ac:dyDescent="0.3">
      <c r="A1497" s="223"/>
      <c r="B1497" s="226"/>
      <c r="C1497" s="36"/>
      <c r="D1497" s="36"/>
      <c r="E1497" s="37"/>
      <c r="F1497" s="31" t="s">
        <v>572</v>
      </c>
      <c r="G1497" s="31" t="str">
        <f t="shared" si="25"/>
        <v/>
      </c>
      <c r="H1497" s="35"/>
      <c r="I1497" s="31"/>
      <c r="J1497" s="156">
        <v>0</v>
      </c>
    </row>
    <row r="1498" spans="1:10" ht="15.75" hidden="1" thickBot="1" x14ac:dyDescent="0.3">
      <c r="A1498" s="221" t="s">
        <v>510</v>
      </c>
      <c r="B1498" s="224" t="str">
        <f>INDEX(Orçamentária!A:B,MATCH(Composições!A1498,Orçamentária!A:A,0),2)</f>
        <v>Eletrocalha 50x50 mm</v>
      </c>
      <c r="C1498" s="41"/>
      <c r="D1498" s="26" t="str">
        <f>TRIM(INDEX(Orçamentária!C:C,MATCH(Composições!A1498,Orçamentária!A:A,0),1))</f>
        <v>m</v>
      </c>
      <c r="E1498" s="27"/>
      <c r="F1498" s="42" t="s">
        <v>572</v>
      </c>
      <c r="G1498" s="28" t="str">
        <f t="shared" si="25"/>
        <v/>
      </c>
      <c r="H1498" s="29"/>
      <c r="I1498" s="30"/>
      <c r="J1498" s="156">
        <v>0</v>
      </c>
    </row>
    <row r="1499" spans="1:10" ht="15.75" hidden="1" thickBot="1" x14ac:dyDescent="0.3">
      <c r="A1499" s="227"/>
      <c r="B1499" s="225"/>
      <c r="C1499" s="32"/>
      <c r="D1499" s="32"/>
      <c r="E1499" s="33"/>
      <c r="F1499" s="43" t="s">
        <v>572</v>
      </c>
      <c r="G1499" s="31" t="str">
        <f t="shared" si="25"/>
        <v/>
      </c>
      <c r="H1499" s="35"/>
      <c r="I1499" s="31"/>
      <c r="J1499" s="156">
        <v>0</v>
      </c>
    </row>
    <row r="1500" spans="1:10" ht="15.75" hidden="1" thickBot="1" x14ac:dyDescent="0.3">
      <c r="A1500" s="227"/>
      <c r="B1500" s="225"/>
      <c r="C1500" s="36" t="s">
        <v>30</v>
      </c>
      <c r="D1500" s="36" t="s">
        <v>12</v>
      </c>
      <c r="E1500" s="37">
        <v>0.45</v>
      </c>
      <c r="F1500" s="31">
        <v>22.268000000000001</v>
      </c>
      <c r="G1500" s="31">
        <f t="shared" si="25"/>
        <v>10.0206</v>
      </c>
      <c r="H1500" s="39">
        <f>SUM(G1500:G1511)</f>
        <v>19.042270250000001</v>
      </c>
      <c r="I1500" s="40"/>
      <c r="J1500" s="156">
        <v>0</v>
      </c>
    </row>
    <row r="1501" spans="1:10" ht="15.75" hidden="1" thickBot="1" x14ac:dyDescent="0.3">
      <c r="A1501" s="227"/>
      <c r="B1501" s="225"/>
      <c r="C1501" s="36" t="s">
        <v>74</v>
      </c>
      <c r="D1501" s="47" t="s">
        <v>12</v>
      </c>
      <c r="E1501" s="37">
        <v>0.45</v>
      </c>
      <c r="F1501" s="31">
        <v>17.366</v>
      </c>
      <c r="G1501" s="31">
        <f t="shared" si="25"/>
        <v>7.8147000000000002</v>
      </c>
      <c r="H1501" s="35"/>
      <c r="I1501" s="31"/>
      <c r="J1501" s="156">
        <v>0</v>
      </c>
    </row>
    <row r="1502" spans="1:10" ht="26.25" hidden="1" thickBot="1" x14ac:dyDescent="0.3">
      <c r="A1502" s="227"/>
      <c r="B1502" s="225"/>
      <c r="C1502" s="36" t="s">
        <v>481</v>
      </c>
      <c r="D1502" s="36" t="s">
        <v>150</v>
      </c>
      <c r="E1502" s="37">
        <v>0.67</v>
      </c>
      <c r="F1502" s="31">
        <v>0</v>
      </c>
      <c r="G1502" s="31">
        <f t="shared" si="25"/>
        <v>0</v>
      </c>
      <c r="H1502" s="62"/>
      <c r="I1502" s="1"/>
      <c r="J1502" s="156">
        <v>0</v>
      </c>
    </row>
    <row r="1503" spans="1:10" ht="26.25" hidden="1" thickBot="1" x14ac:dyDescent="0.3">
      <c r="A1503" s="227"/>
      <c r="B1503" s="225"/>
      <c r="C1503" s="36" t="s">
        <v>511</v>
      </c>
      <c r="D1503" s="36" t="s">
        <v>94</v>
      </c>
      <c r="E1503" s="37">
        <v>1.05</v>
      </c>
      <c r="F1503" s="34" t="s">
        <v>572</v>
      </c>
      <c r="G1503" s="31" t="str">
        <f t="shared" si="25"/>
        <v/>
      </c>
      <c r="H1503" s="35"/>
      <c r="I1503" s="31"/>
      <c r="J1503" s="156">
        <v>0</v>
      </c>
    </row>
    <row r="1504" spans="1:10" ht="15.75" hidden="1" thickBot="1" x14ac:dyDescent="0.3">
      <c r="A1504" s="227"/>
      <c r="B1504" s="225"/>
      <c r="C1504" s="36" t="s">
        <v>483</v>
      </c>
      <c r="D1504" s="36" t="s">
        <v>94</v>
      </c>
      <c r="E1504" s="37">
        <v>0.8</v>
      </c>
      <c r="F1504" s="31">
        <v>0</v>
      </c>
      <c r="G1504" s="31">
        <f t="shared" si="25"/>
        <v>0</v>
      </c>
      <c r="H1504" s="35"/>
      <c r="I1504" s="31"/>
      <c r="J1504" s="156">
        <v>0</v>
      </c>
    </row>
    <row r="1505" spans="1:10" ht="15.75" hidden="1" thickBot="1" x14ac:dyDescent="0.3">
      <c r="A1505" s="227"/>
      <c r="B1505" s="225"/>
      <c r="C1505" s="36" t="s">
        <v>484</v>
      </c>
      <c r="D1505" s="36" t="s">
        <v>299</v>
      </c>
      <c r="E1505" s="37">
        <v>4.0033000000000003</v>
      </c>
      <c r="F1505" s="34">
        <v>0.14249999999999999</v>
      </c>
      <c r="G1505" s="31">
        <f t="shared" si="25"/>
        <v>0.57047024999999996</v>
      </c>
      <c r="H1505" s="35"/>
      <c r="I1505" s="31"/>
      <c r="J1505" s="156">
        <v>0</v>
      </c>
    </row>
    <row r="1506" spans="1:10" ht="15.75" hidden="1" thickBot="1" x14ac:dyDescent="0.3">
      <c r="A1506" s="227"/>
      <c r="B1506" s="225"/>
      <c r="C1506" s="36" t="s">
        <v>485</v>
      </c>
      <c r="D1506" s="36" t="s">
        <v>150</v>
      </c>
      <c r="E1506" s="37">
        <v>4.0033000000000003</v>
      </c>
      <c r="F1506" s="31">
        <v>0</v>
      </c>
      <c r="G1506" s="31">
        <f t="shared" si="25"/>
        <v>0</v>
      </c>
      <c r="H1506" s="35"/>
      <c r="I1506" s="31"/>
      <c r="J1506" s="156">
        <v>0</v>
      </c>
    </row>
    <row r="1507" spans="1:10" ht="15.75" hidden="1" thickBot="1" x14ac:dyDescent="0.3">
      <c r="A1507" s="227"/>
      <c r="B1507" s="225"/>
      <c r="C1507" s="36" t="s">
        <v>512</v>
      </c>
      <c r="D1507" s="36" t="s">
        <v>150</v>
      </c>
      <c r="E1507" s="37">
        <v>0.67</v>
      </c>
      <c r="F1507" s="31">
        <v>0.95</v>
      </c>
      <c r="G1507" s="31">
        <f t="shared" si="25"/>
        <v>0.63649999999999995</v>
      </c>
      <c r="H1507" s="35"/>
      <c r="I1507" s="31"/>
      <c r="J1507" s="156">
        <v>0</v>
      </c>
    </row>
    <row r="1508" spans="1:10" ht="15.75" hidden="1" thickBot="1" x14ac:dyDescent="0.3">
      <c r="A1508" s="227"/>
      <c r="B1508" s="225"/>
      <c r="C1508" s="36" t="s">
        <v>487</v>
      </c>
      <c r="D1508" s="36" t="s">
        <v>150</v>
      </c>
      <c r="E1508" s="37">
        <v>1.05</v>
      </c>
      <c r="F1508" s="31">
        <v>0</v>
      </c>
      <c r="G1508" s="31">
        <f t="shared" si="25"/>
        <v>0</v>
      </c>
      <c r="H1508" s="35"/>
      <c r="I1508" s="31"/>
      <c r="J1508" s="156">
        <v>0</v>
      </c>
    </row>
    <row r="1509" spans="1:10" ht="15.75" hidden="1" thickBot="1" x14ac:dyDescent="0.3">
      <c r="A1509" s="227"/>
      <c r="B1509" s="225"/>
      <c r="C1509" s="36" t="s">
        <v>488</v>
      </c>
      <c r="D1509" s="36" t="s">
        <v>20</v>
      </c>
      <c r="E1509" s="37">
        <v>2.67</v>
      </c>
      <c r="F1509" s="31">
        <v>0</v>
      </c>
      <c r="G1509" s="31">
        <f t="shared" si="25"/>
        <v>0</v>
      </c>
      <c r="H1509" s="35"/>
      <c r="I1509" s="31"/>
      <c r="J1509" s="156">
        <v>0</v>
      </c>
    </row>
    <row r="1510" spans="1:10" ht="15.75" hidden="1" thickBot="1" x14ac:dyDescent="0.3">
      <c r="A1510" s="227"/>
      <c r="B1510" s="225"/>
      <c r="C1510" s="36" t="s">
        <v>489</v>
      </c>
      <c r="D1510" s="36" t="s">
        <v>150</v>
      </c>
      <c r="E1510" s="37">
        <v>0.66669999999999996</v>
      </c>
      <c r="F1510" s="31">
        <v>0</v>
      </c>
      <c r="G1510" s="31">
        <f t="shared" si="25"/>
        <v>0</v>
      </c>
      <c r="H1510" s="35"/>
      <c r="I1510" s="31"/>
      <c r="J1510" s="156">
        <v>0</v>
      </c>
    </row>
    <row r="1511" spans="1:10" ht="26.25" hidden="1" thickBot="1" x14ac:dyDescent="0.3">
      <c r="A1511" s="227"/>
      <c r="B1511" s="225"/>
      <c r="C1511" s="36" t="s">
        <v>513</v>
      </c>
      <c r="D1511" s="36" t="s">
        <v>94</v>
      </c>
      <c r="E1511" s="37">
        <v>1.05</v>
      </c>
      <c r="F1511" s="34" t="s">
        <v>572</v>
      </c>
      <c r="G1511" s="31" t="str">
        <f t="shared" si="25"/>
        <v/>
      </c>
      <c r="H1511" s="35"/>
      <c r="I1511" s="31"/>
      <c r="J1511" s="156">
        <v>0</v>
      </c>
    </row>
    <row r="1512" spans="1:10" ht="15.75" hidden="1" thickBot="1" x14ac:dyDescent="0.3">
      <c r="A1512" s="228"/>
      <c r="B1512" s="226"/>
      <c r="C1512" s="36"/>
      <c r="D1512" s="36"/>
      <c r="E1512" s="37"/>
      <c r="F1512" s="31" t="s">
        <v>572</v>
      </c>
      <c r="G1512" s="31" t="str">
        <f t="shared" si="25"/>
        <v/>
      </c>
      <c r="H1512" s="35"/>
      <c r="I1512" s="31"/>
      <c r="J1512" s="156">
        <v>0</v>
      </c>
    </row>
    <row r="1513" spans="1:10" ht="15.75" hidden="1" thickBot="1" x14ac:dyDescent="0.3">
      <c r="A1513" s="221" t="s">
        <v>514</v>
      </c>
      <c r="B1513" s="224" t="str">
        <f>INDEX(Orçamentária!A:B,MATCH(Composições!A1513,Orçamentária!A:A,0),2)</f>
        <v>Eletroduto de aço galvanizado de 1 1/2"</v>
      </c>
      <c r="C1513" s="41"/>
      <c r="D1513" s="26" t="str">
        <f>TRIM(INDEX(Orçamentária!C:C,MATCH(Composições!A1513,Orçamentária!A:A,0),1))</f>
        <v>m</v>
      </c>
      <c r="E1513" s="27"/>
      <c r="F1513" s="42" t="s">
        <v>572</v>
      </c>
      <c r="G1513" s="28" t="str">
        <f t="shared" si="25"/>
        <v/>
      </c>
      <c r="H1513" s="29"/>
      <c r="I1513" s="30"/>
      <c r="J1513" s="156">
        <v>0</v>
      </c>
    </row>
    <row r="1514" spans="1:10" ht="15.75" hidden="1" thickBot="1" x14ac:dyDescent="0.3">
      <c r="A1514" s="222"/>
      <c r="B1514" s="225"/>
      <c r="C1514" s="32"/>
      <c r="D1514" s="32"/>
      <c r="E1514" s="33"/>
      <c r="F1514" s="43" t="s">
        <v>572</v>
      </c>
      <c r="G1514" s="31" t="str">
        <f t="shared" si="25"/>
        <v/>
      </c>
      <c r="H1514" s="35"/>
      <c r="I1514" s="31"/>
      <c r="J1514" s="156">
        <v>0</v>
      </c>
    </row>
    <row r="1515" spans="1:10" ht="15.75" hidden="1" thickBot="1" x14ac:dyDescent="0.3">
      <c r="A1515" s="222"/>
      <c r="B1515" s="225"/>
      <c r="C1515" s="36" t="s">
        <v>515</v>
      </c>
      <c r="D1515" s="36" t="s">
        <v>94</v>
      </c>
      <c r="E1515" s="37">
        <v>1.05</v>
      </c>
      <c r="F1515" s="31">
        <v>0.95</v>
      </c>
      <c r="G1515" s="34">
        <f t="shared" si="25"/>
        <v>0.99749999999999994</v>
      </c>
      <c r="H1515" s="39">
        <f>SUM(G1515:G1519)</f>
        <v>19.838094434220004</v>
      </c>
      <c r="I1515" s="40"/>
      <c r="J1515" s="156">
        <v>0</v>
      </c>
    </row>
    <row r="1516" spans="1:10" ht="15.75" hidden="1" thickBot="1" x14ac:dyDescent="0.3">
      <c r="A1516" s="222"/>
      <c r="B1516" s="225"/>
      <c r="C1516" s="36" t="s">
        <v>30</v>
      </c>
      <c r="D1516" s="36" t="s">
        <v>12</v>
      </c>
      <c r="E1516" s="37">
        <v>0.28210000000000002</v>
      </c>
      <c r="F1516" s="31">
        <v>22.268000000000001</v>
      </c>
      <c r="G1516" s="34">
        <f t="shared" si="25"/>
        <v>6.2818028000000004</v>
      </c>
      <c r="H1516" s="35"/>
      <c r="I1516" s="31"/>
      <c r="J1516" s="156">
        <v>0</v>
      </c>
    </row>
    <row r="1517" spans="1:10" ht="15.75" hidden="1" thickBot="1" x14ac:dyDescent="0.3">
      <c r="A1517" s="222"/>
      <c r="B1517" s="225"/>
      <c r="C1517" s="36" t="s">
        <v>74</v>
      </c>
      <c r="D1517" s="36" t="s">
        <v>12</v>
      </c>
      <c r="E1517" s="37">
        <v>0.28210000000000002</v>
      </c>
      <c r="F1517" s="31">
        <v>17.366</v>
      </c>
      <c r="G1517" s="34">
        <f t="shared" si="25"/>
        <v>4.8989485999999998</v>
      </c>
      <c r="H1517" s="35"/>
      <c r="I1517" s="31"/>
      <c r="J1517" s="156">
        <v>0</v>
      </c>
    </row>
    <row r="1518" spans="1:10" ht="39" hidden="1" thickBot="1" x14ac:dyDescent="0.3">
      <c r="A1518" s="222"/>
      <c r="B1518" s="225"/>
      <c r="C1518" s="36" t="s">
        <v>516</v>
      </c>
      <c r="D1518" s="36" t="s">
        <v>94</v>
      </c>
      <c r="E1518" s="37">
        <v>2</v>
      </c>
      <c r="F1518" s="34">
        <v>1.2113545000000001</v>
      </c>
      <c r="G1518" s="34">
        <f t="shared" si="25"/>
        <v>2.4227090000000002</v>
      </c>
      <c r="H1518" s="35"/>
      <c r="I1518" s="31"/>
      <c r="J1518" s="156">
        <v>0</v>
      </c>
    </row>
    <row r="1519" spans="1:10" ht="26.25" hidden="1" thickBot="1" x14ac:dyDescent="0.3">
      <c r="A1519" s="222"/>
      <c r="B1519" s="225"/>
      <c r="C1519" s="36" t="s">
        <v>517</v>
      </c>
      <c r="D1519" s="36" t="s">
        <v>299</v>
      </c>
      <c r="E1519" s="37">
        <v>0.33329999999999999</v>
      </c>
      <c r="F1519" s="34">
        <v>15.712973400000001</v>
      </c>
      <c r="G1519" s="34">
        <f t="shared" si="25"/>
        <v>5.2371340342200003</v>
      </c>
      <c r="H1519" s="35"/>
      <c r="I1519" s="31"/>
      <c r="J1519" s="156">
        <v>0</v>
      </c>
    </row>
    <row r="1520" spans="1:10" ht="15.75" hidden="1" thickBot="1" x14ac:dyDescent="0.3">
      <c r="A1520" s="223"/>
      <c r="B1520" s="226"/>
      <c r="C1520" s="36"/>
      <c r="D1520" s="36"/>
      <c r="E1520" s="37"/>
      <c r="F1520" s="31" t="s">
        <v>572</v>
      </c>
      <c r="G1520" s="31" t="str">
        <f t="shared" si="25"/>
        <v/>
      </c>
      <c r="H1520" s="35"/>
      <c r="I1520" s="31"/>
      <c r="J1520" s="156">
        <v>0</v>
      </c>
    </row>
    <row r="1521" spans="1:10" ht="15.75" hidden="1" thickBot="1" x14ac:dyDescent="0.3">
      <c r="A1521" s="221" t="s">
        <v>518</v>
      </c>
      <c r="B1521" s="224" t="str">
        <f>INDEX(Orçamentária!A:B,MATCH(Composições!A1521,Orçamentária!A:A,0),2)</f>
        <v>Eletroduto de aço galvanizado de 1 1/4"</v>
      </c>
      <c r="C1521" s="41"/>
      <c r="D1521" s="26" t="str">
        <f>TRIM(INDEX(Orçamentária!C:C,MATCH(Composições!A1521,Orçamentária!A:A,0),1))</f>
        <v>m</v>
      </c>
      <c r="E1521" s="27"/>
      <c r="F1521" s="42" t="s">
        <v>572</v>
      </c>
      <c r="G1521" s="28" t="str">
        <f t="shared" si="25"/>
        <v/>
      </c>
      <c r="H1521" s="29"/>
      <c r="I1521" s="30"/>
      <c r="J1521" s="156">
        <v>0</v>
      </c>
    </row>
    <row r="1522" spans="1:10" ht="15.75" hidden="1" thickBot="1" x14ac:dyDescent="0.3">
      <c r="A1522" s="222"/>
      <c r="B1522" s="225"/>
      <c r="C1522" s="32"/>
      <c r="D1522" s="32"/>
      <c r="E1522" s="33"/>
      <c r="F1522" s="43" t="s">
        <v>572</v>
      </c>
      <c r="G1522" s="31" t="str">
        <f t="shared" si="25"/>
        <v/>
      </c>
      <c r="H1522" s="35"/>
      <c r="I1522" s="31"/>
      <c r="J1522" s="156">
        <v>0</v>
      </c>
    </row>
    <row r="1523" spans="1:10" ht="15.75" hidden="1" thickBot="1" x14ac:dyDescent="0.3">
      <c r="A1523" s="222"/>
      <c r="B1523" s="225"/>
      <c r="C1523" s="36" t="s">
        <v>519</v>
      </c>
      <c r="D1523" s="36" t="s">
        <v>94</v>
      </c>
      <c r="E1523" s="37">
        <v>1.05</v>
      </c>
      <c r="F1523" s="31">
        <v>0.95</v>
      </c>
      <c r="G1523" s="34">
        <f t="shared" si="25"/>
        <v>0.99749999999999994</v>
      </c>
      <c r="H1523" s="39">
        <f>SUM(G1523:G1527)</f>
        <v>17.474052132840001</v>
      </c>
      <c r="I1523" s="40"/>
      <c r="J1523" s="156">
        <v>0</v>
      </c>
    </row>
    <row r="1524" spans="1:10" ht="15.75" hidden="1" thickBot="1" x14ac:dyDescent="0.3">
      <c r="A1524" s="222"/>
      <c r="B1524" s="225"/>
      <c r="C1524" s="36" t="s">
        <v>30</v>
      </c>
      <c r="D1524" s="36" t="s">
        <v>12</v>
      </c>
      <c r="E1524" s="37">
        <v>0.247</v>
      </c>
      <c r="F1524" s="31">
        <v>22.268000000000001</v>
      </c>
      <c r="G1524" s="34">
        <f t="shared" si="25"/>
        <v>5.5001959999999999</v>
      </c>
      <c r="H1524" s="35"/>
      <c r="I1524" s="31"/>
      <c r="J1524" s="156">
        <v>0</v>
      </c>
    </row>
    <row r="1525" spans="1:10" ht="15.75" hidden="1" thickBot="1" x14ac:dyDescent="0.3">
      <c r="A1525" s="222"/>
      <c r="B1525" s="225"/>
      <c r="C1525" s="36" t="s">
        <v>74</v>
      </c>
      <c r="D1525" s="36" t="s">
        <v>12</v>
      </c>
      <c r="E1525" s="37">
        <v>0.247</v>
      </c>
      <c r="F1525" s="31">
        <v>17.366</v>
      </c>
      <c r="G1525" s="34">
        <f t="shared" si="25"/>
        <v>4.2894019999999999</v>
      </c>
      <c r="H1525" s="35"/>
      <c r="I1525" s="31"/>
      <c r="J1525" s="156">
        <v>0</v>
      </c>
    </row>
    <row r="1526" spans="1:10" ht="39" hidden="1" thickBot="1" x14ac:dyDescent="0.3">
      <c r="A1526" s="222"/>
      <c r="B1526" s="225"/>
      <c r="C1526" s="36" t="s">
        <v>516</v>
      </c>
      <c r="D1526" s="36" t="s">
        <v>94</v>
      </c>
      <c r="E1526" s="37">
        <v>2</v>
      </c>
      <c r="F1526" s="34">
        <v>1.2113545000000001</v>
      </c>
      <c r="G1526" s="34">
        <f t="shared" si="25"/>
        <v>2.4227090000000002</v>
      </c>
      <c r="H1526" s="35"/>
      <c r="I1526" s="31"/>
      <c r="J1526" s="156">
        <v>0</v>
      </c>
    </row>
    <row r="1527" spans="1:10" ht="26.25" hidden="1" thickBot="1" x14ac:dyDescent="0.3">
      <c r="A1527" s="222"/>
      <c r="B1527" s="225"/>
      <c r="C1527" s="36" t="s">
        <v>520</v>
      </c>
      <c r="D1527" s="36" t="s">
        <v>299</v>
      </c>
      <c r="E1527" s="37">
        <v>0.33329999999999999</v>
      </c>
      <c r="F1527" s="34">
        <v>12.794014799999999</v>
      </c>
      <c r="G1527" s="34">
        <f t="shared" si="25"/>
        <v>4.2642451328399993</v>
      </c>
      <c r="H1527" s="35"/>
      <c r="I1527" s="31"/>
      <c r="J1527" s="156">
        <v>0</v>
      </c>
    </row>
    <row r="1528" spans="1:10" ht="15.75" hidden="1" thickBot="1" x14ac:dyDescent="0.3">
      <c r="A1528" s="223"/>
      <c r="B1528" s="226"/>
      <c r="C1528" s="36"/>
      <c r="D1528" s="36"/>
      <c r="E1528" s="37"/>
      <c r="F1528" s="31" t="s">
        <v>572</v>
      </c>
      <c r="G1528" s="31" t="str">
        <f t="shared" si="25"/>
        <v/>
      </c>
      <c r="H1528" s="35"/>
      <c r="I1528" s="31"/>
      <c r="J1528" s="156">
        <v>0</v>
      </c>
    </row>
    <row r="1529" spans="1:10" ht="15.75" hidden="1" thickBot="1" x14ac:dyDescent="0.3">
      <c r="A1529" s="221" t="s">
        <v>521</v>
      </c>
      <c r="B1529" s="224" t="str">
        <f>INDEX(Orçamentária!A:B,MATCH(Composições!A1529,Orçamentária!A:A,0),2)</f>
        <v>Eletroduto de aço galvanizado de 1"</v>
      </c>
      <c r="C1529" s="41"/>
      <c r="D1529" s="26" t="str">
        <f>TRIM(INDEX(Orçamentária!C:C,MATCH(Composições!A1529,Orçamentária!A:A,0),1))</f>
        <v>m</v>
      </c>
      <c r="E1529" s="27"/>
      <c r="F1529" s="42" t="s">
        <v>572</v>
      </c>
      <c r="G1529" s="28" t="str">
        <f t="shared" si="25"/>
        <v/>
      </c>
      <c r="H1529" s="29"/>
      <c r="I1529" s="30"/>
      <c r="J1529" s="156">
        <v>0</v>
      </c>
    </row>
    <row r="1530" spans="1:10" ht="15.75" hidden="1" thickBot="1" x14ac:dyDescent="0.3">
      <c r="A1530" s="222"/>
      <c r="B1530" s="225"/>
      <c r="C1530" s="32"/>
      <c r="D1530" s="32"/>
      <c r="E1530" s="33"/>
      <c r="F1530" s="43" t="s">
        <v>572</v>
      </c>
      <c r="G1530" s="31" t="str">
        <f t="shared" si="25"/>
        <v/>
      </c>
      <c r="H1530" s="35"/>
      <c r="I1530" s="31"/>
      <c r="J1530" s="156">
        <v>0</v>
      </c>
    </row>
    <row r="1531" spans="1:10" ht="15.75" hidden="1" thickBot="1" x14ac:dyDescent="0.3">
      <c r="A1531" s="222"/>
      <c r="B1531" s="225"/>
      <c r="C1531" s="36" t="s">
        <v>522</v>
      </c>
      <c r="D1531" s="36" t="s">
        <v>94</v>
      </c>
      <c r="E1531" s="37">
        <v>1.05</v>
      </c>
      <c r="F1531" s="31">
        <v>0.95</v>
      </c>
      <c r="G1531" s="34">
        <f t="shared" si="25"/>
        <v>0.99749999999999994</v>
      </c>
      <c r="H1531" s="39">
        <f>SUM(G1531:G1535)</f>
        <v>15.353071230259999</v>
      </c>
      <c r="I1531" s="40"/>
      <c r="J1531" s="156">
        <v>0</v>
      </c>
    </row>
    <row r="1532" spans="1:10" ht="15.75" hidden="1" thickBot="1" x14ac:dyDescent="0.3">
      <c r="A1532" s="222"/>
      <c r="B1532" s="225"/>
      <c r="C1532" s="36" t="s">
        <v>30</v>
      </c>
      <c r="D1532" s="36" t="s">
        <v>12</v>
      </c>
      <c r="E1532" s="37">
        <v>0.21629999999999999</v>
      </c>
      <c r="F1532" s="31">
        <v>22.268000000000001</v>
      </c>
      <c r="G1532" s="34">
        <f t="shared" si="25"/>
        <v>4.8165684000000004</v>
      </c>
      <c r="H1532" s="35"/>
      <c r="I1532" s="31"/>
      <c r="J1532" s="156">
        <v>0</v>
      </c>
    </row>
    <row r="1533" spans="1:10" ht="15.75" hidden="1" thickBot="1" x14ac:dyDescent="0.3">
      <c r="A1533" s="222"/>
      <c r="B1533" s="225"/>
      <c r="C1533" s="36" t="s">
        <v>74</v>
      </c>
      <c r="D1533" s="36" t="s">
        <v>12</v>
      </c>
      <c r="E1533" s="37">
        <v>0.21629999999999999</v>
      </c>
      <c r="F1533" s="31">
        <v>17.366</v>
      </c>
      <c r="G1533" s="34">
        <f t="shared" si="25"/>
        <v>3.7562658</v>
      </c>
      <c r="H1533" s="35"/>
      <c r="I1533" s="31"/>
      <c r="J1533" s="156">
        <v>0</v>
      </c>
    </row>
    <row r="1534" spans="1:10" ht="39" hidden="1" thickBot="1" x14ac:dyDescent="0.3">
      <c r="A1534" s="222"/>
      <c r="B1534" s="225"/>
      <c r="C1534" s="36" t="s">
        <v>516</v>
      </c>
      <c r="D1534" s="36" t="s">
        <v>94</v>
      </c>
      <c r="E1534" s="37">
        <v>2</v>
      </c>
      <c r="F1534" s="34">
        <v>1.2113545000000001</v>
      </c>
      <c r="G1534" s="34">
        <f t="shared" si="25"/>
        <v>2.4227090000000002</v>
      </c>
      <c r="H1534" s="35"/>
      <c r="I1534" s="31"/>
      <c r="J1534" s="156">
        <v>0</v>
      </c>
    </row>
    <row r="1535" spans="1:10" ht="26.25" hidden="1" thickBot="1" x14ac:dyDescent="0.3">
      <c r="A1535" s="222"/>
      <c r="B1535" s="225"/>
      <c r="C1535" s="36" t="s">
        <v>523</v>
      </c>
      <c r="D1535" s="36" t="s">
        <v>299</v>
      </c>
      <c r="E1535" s="37">
        <v>0.33329999999999999</v>
      </c>
      <c r="F1535" s="34">
        <v>10.081092199999999</v>
      </c>
      <c r="G1535" s="34">
        <f t="shared" si="25"/>
        <v>3.3600280302599996</v>
      </c>
      <c r="H1535" s="35"/>
      <c r="I1535" s="31"/>
      <c r="J1535" s="156">
        <v>0</v>
      </c>
    </row>
    <row r="1536" spans="1:10" ht="15.75" hidden="1" thickBot="1" x14ac:dyDescent="0.3">
      <c r="A1536" s="223"/>
      <c r="B1536" s="226"/>
      <c r="C1536" s="36"/>
      <c r="D1536" s="36"/>
      <c r="E1536" s="37"/>
      <c r="F1536" s="31" t="s">
        <v>572</v>
      </c>
      <c r="G1536" s="31" t="str">
        <f t="shared" si="25"/>
        <v/>
      </c>
      <c r="H1536" s="35"/>
      <c r="I1536" s="31"/>
      <c r="J1536" s="156">
        <v>0</v>
      </c>
    </row>
    <row r="1537" spans="1:10" ht="15.75" hidden="1" thickBot="1" x14ac:dyDescent="0.3">
      <c r="A1537" s="221" t="s">
        <v>524</v>
      </c>
      <c r="B1537" s="224" t="str">
        <f>INDEX(Orçamentária!A:B,MATCH(Composições!A1537,Orçamentária!A:A,0),2)</f>
        <v>Eletroduto de aço galvanizado de 2"</v>
      </c>
      <c r="C1537" s="41"/>
      <c r="D1537" s="26" t="str">
        <f>TRIM(INDEX(Orçamentária!C:C,MATCH(Composições!A1537,Orçamentária!A:A,0),1))</f>
        <v>m</v>
      </c>
      <c r="E1537" s="27"/>
      <c r="F1537" s="42" t="s">
        <v>572</v>
      </c>
      <c r="G1537" s="28" t="str">
        <f t="shared" si="25"/>
        <v/>
      </c>
      <c r="H1537" s="29"/>
      <c r="I1537" s="30"/>
      <c r="J1537" s="156">
        <v>0</v>
      </c>
    </row>
    <row r="1538" spans="1:10" ht="15.75" hidden="1" thickBot="1" x14ac:dyDescent="0.3">
      <c r="A1538" s="222"/>
      <c r="B1538" s="225"/>
      <c r="C1538" s="32"/>
      <c r="D1538" s="32"/>
      <c r="E1538" s="33"/>
      <c r="F1538" s="43" t="s">
        <v>572</v>
      </c>
      <c r="G1538" s="31" t="str">
        <f t="shared" si="25"/>
        <v/>
      </c>
      <c r="H1538" s="35"/>
      <c r="I1538" s="31"/>
      <c r="J1538" s="156">
        <v>0</v>
      </c>
    </row>
    <row r="1539" spans="1:10" ht="15.75" hidden="1" thickBot="1" x14ac:dyDescent="0.3">
      <c r="A1539" s="222"/>
      <c r="B1539" s="225"/>
      <c r="C1539" s="36" t="s">
        <v>525</v>
      </c>
      <c r="D1539" s="36" t="s">
        <v>94</v>
      </c>
      <c r="E1539" s="37">
        <v>1.05</v>
      </c>
      <c r="F1539" s="31">
        <v>0.95</v>
      </c>
      <c r="G1539" s="34">
        <f t="shared" si="25"/>
        <v>0.99749999999999994</v>
      </c>
      <c r="H1539" s="39">
        <f>SUM(G1539:G1543)</f>
        <v>22.99633903422</v>
      </c>
      <c r="I1539" s="40"/>
      <c r="J1539" s="156">
        <v>0</v>
      </c>
    </row>
    <row r="1540" spans="1:10" ht="15.75" hidden="1" thickBot="1" x14ac:dyDescent="0.3">
      <c r="A1540" s="222"/>
      <c r="B1540" s="225"/>
      <c r="C1540" s="36" t="s">
        <v>30</v>
      </c>
      <c r="D1540" s="36" t="s">
        <v>12</v>
      </c>
      <c r="E1540" s="37">
        <v>0.28210000000000002</v>
      </c>
      <c r="F1540" s="31">
        <v>22.268000000000001</v>
      </c>
      <c r="G1540" s="34">
        <f t="shared" si="25"/>
        <v>6.2818028000000004</v>
      </c>
      <c r="H1540" s="35"/>
      <c r="I1540" s="31"/>
      <c r="J1540" s="156">
        <v>0</v>
      </c>
    </row>
    <row r="1541" spans="1:10" ht="15.75" hidden="1" thickBot="1" x14ac:dyDescent="0.3">
      <c r="A1541" s="222"/>
      <c r="B1541" s="225"/>
      <c r="C1541" s="36" t="s">
        <v>74</v>
      </c>
      <c r="D1541" s="36" t="s">
        <v>12</v>
      </c>
      <c r="E1541" s="37">
        <v>0.28210000000000002</v>
      </c>
      <c r="F1541" s="31">
        <v>17.366</v>
      </c>
      <c r="G1541" s="34">
        <f t="shared" si="25"/>
        <v>4.8989485999999998</v>
      </c>
      <c r="H1541" s="35"/>
      <c r="I1541" s="31"/>
      <c r="J1541" s="156">
        <v>0</v>
      </c>
    </row>
    <row r="1542" spans="1:10" ht="51.75" hidden="1" thickBot="1" x14ac:dyDescent="0.3">
      <c r="A1542" s="222"/>
      <c r="B1542" s="225"/>
      <c r="C1542" s="36" t="s">
        <v>526</v>
      </c>
      <c r="D1542" s="36" t="s">
        <v>527</v>
      </c>
      <c r="E1542" s="37">
        <v>2</v>
      </c>
      <c r="F1542" s="34">
        <v>2.4485110000000003</v>
      </c>
      <c r="G1542" s="34">
        <f t="shared" si="25"/>
        <v>4.8970220000000007</v>
      </c>
      <c r="H1542" s="35"/>
      <c r="I1542" s="31"/>
      <c r="J1542" s="156">
        <v>0</v>
      </c>
    </row>
    <row r="1543" spans="1:10" ht="26.25" hidden="1" thickBot="1" x14ac:dyDescent="0.3">
      <c r="A1543" s="222"/>
      <c r="B1543" s="225"/>
      <c r="C1543" s="36" t="s">
        <v>528</v>
      </c>
      <c r="D1543" s="36" t="s">
        <v>299</v>
      </c>
      <c r="E1543" s="37">
        <v>0.33329999999999999</v>
      </c>
      <c r="F1543" s="34">
        <v>17.764973400000002</v>
      </c>
      <c r="G1543" s="31">
        <f t="shared" si="25"/>
        <v>5.9210656342200005</v>
      </c>
      <c r="H1543" s="35"/>
      <c r="I1543" s="31"/>
      <c r="J1543" s="156">
        <v>0</v>
      </c>
    </row>
    <row r="1544" spans="1:10" ht="15.75" hidden="1" thickBot="1" x14ac:dyDescent="0.3">
      <c r="A1544" s="223"/>
      <c r="B1544" s="226"/>
      <c r="C1544" s="36"/>
      <c r="D1544" s="36"/>
      <c r="E1544" s="37"/>
      <c r="F1544" s="31" t="s">
        <v>572</v>
      </c>
      <c r="G1544" s="31" t="str">
        <f t="shared" si="25"/>
        <v/>
      </c>
      <c r="H1544" s="35"/>
      <c r="I1544" s="31"/>
      <c r="J1544" s="156">
        <v>0</v>
      </c>
    </row>
    <row r="1545" spans="1:10" ht="15.75" hidden="1" thickBot="1" x14ac:dyDescent="0.3">
      <c r="A1545" s="221" t="s">
        <v>529</v>
      </c>
      <c r="B1545" s="224" t="str">
        <f>INDEX(Orçamentária!A:B,MATCH(Composições!A1545,Orçamentária!A:A,0),2)</f>
        <v>Eletroduto de aço galvanizado de 3/4"</v>
      </c>
      <c r="C1545" s="41"/>
      <c r="D1545" s="26" t="str">
        <f>TRIM(INDEX(Orçamentária!C:C,MATCH(Composições!A1545,Orçamentária!A:A,0),1))</f>
        <v>m</v>
      </c>
      <c r="E1545" s="27"/>
      <c r="F1545" s="42" t="s">
        <v>572</v>
      </c>
      <c r="G1545" s="28" t="str">
        <f t="shared" si="25"/>
        <v/>
      </c>
      <c r="H1545" s="29"/>
      <c r="I1545" s="30"/>
      <c r="J1545" s="156">
        <v>0</v>
      </c>
    </row>
    <row r="1546" spans="1:10" ht="15.75" hidden="1" thickBot="1" x14ac:dyDescent="0.3">
      <c r="A1546" s="222"/>
      <c r="B1546" s="225"/>
      <c r="C1546" s="32"/>
      <c r="D1546" s="32"/>
      <c r="E1546" s="33"/>
      <c r="F1546" s="43" t="s">
        <v>572</v>
      </c>
      <c r="G1546" s="31" t="str">
        <f t="shared" si="25"/>
        <v/>
      </c>
      <c r="H1546" s="35"/>
      <c r="I1546" s="31"/>
      <c r="J1546" s="156">
        <v>0</v>
      </c>
    </row>
    <row r="1547" spans="1:10" ht="15.75" hidden="1" thickBot="1" x14ac:dyDescent="0.3">
      <c r="A1547" s="222"/>
      <c r="B1547" s="225"/>
      <c r="C1547" s="36" t="s">
        <v>530</v>
      </c>
      <c r="D1547" s="36" t="s">
        <v>94</v>
      </c>
      <c r="E1547" s="37">
        <v>1.05</v>
      </c>
      <c r="F1547" s="31">
        <v>0.95</v>
      </c>
      <c r="G1547" s="34">
        <f t="shared" si="25"/>
        <v>0.99749999999999994</v>
      </c>
      <c r="H1547" s="39">
        <f>SUM(G1547:G1551)</f>
        <v>14.117969878939999</v>
      </c>
      <c r="I1547" s="40"/>
      <c r="J1547" s="156">
        <v>0</v>
      </c>
    </row>
    <row r="1548" spans="1:10" ht="15.75" hidden="1" thickBot="1" x14ac:dyDescent="0.3">
      <c r="A1548" s="222"/>
      <c r="B1548" s="225"/>
      <c r="C1548" s="36" t="s">
        <v>30</v>
      </c>
      <c r="D1548" s="36" t="s">
        <v>12</v>
      </c>
      <c r="E1548" s="37">
        <v>0.19439999999999999</v>
      </c>
      <c r="F1548" s="31">
        <v>22.268000000000001</v>
      </c>
      <c r="G1548" s="34">
        <f t="shared" si="25"/>
        <v>4.3288991999999995</v>
      </c>
      <c r="H1548" s="35"/>
      <c r="I1548" s="31"/>
      <c r="J1548" s="156">
        <v>0</v>
      </c>
    </row>
    <row r="1549" spans="1:10" ht="15.75" hidden="1" thickBot="1" x14ac:dyDescent="0.3">
      <c r="A1549" s="222"/>
      <c r="B1549" s="225"/>
      <c r="C1549" s="36" t="s">
        <v>74</v>
      </c>
      <c r="D1549" s="36" t="s">
        <v>12</v>
      </c>
      <c r="E1549" s="37">
        <v>0.19439999999999999</v>
      </c>
      <c r="F1549" s="31">
        <v>17.366</v>
      </c>
      <c r="G1549" s="34">
        <f t="shared" si="25"/>
        <v>3.3759503999999998</v>
      </c>
      <c r="H1549" s="35"/>
      <c r="I1549" s="31"/>
      <c r="J1549" s="156">
        <v>0</v>
      </c>
    </row>
    <row r="1550" spans="1:10" ht="39" hidden="1" thickBot="1" x14ac:dyDescent="0.3">
      <c r="A1550" s="222"/>
      <c r="B1550" s="225"/>
      <c r="C1550" s="36" t="s">
        <v>516</v>
      </c>
      <c r="D1550" s="36" t="s">
        <v>94</v>
      </c>
      <c r="E1550" s="37">
        <v>2</v>
      </c>
      <c r="F1550" s="34">
        <v>1.2113545000000001</v>
      </c>
      <c r="G1550" s="34">
        <f t="shared" si="25"/>
        <v>2.4227090000000002</v>
      </c>
      <c r="H1550" s="35"/>
      <c r="I1550" s="31"/>
      <c r="J1550" s="156">
        <v>0</v>
      </c>
    </row>
    <row r="1551" spans="1:10" ht="26.25" hidden="1" thickBot="1" x14ac:dyDescent="0.3">
      <c r="A1551" s="222"/>
      <c r="B1551" s="225"/>
      <c r="C1551" s="36" t="s">
        <v>531</v>
      </c>
      <c r="D1551" s="36" t="s">
        <v>299</v>
      </c>
      <c r="E1551" s="37">
        <v>0.33329999999999999</v>
      </c>
      <c r="F1551" s="34">
        <v>8.9796317999999999</v>
      </c>
      <c r="G1551" s="34">
        <f t="shared" si="25"/>
        <v>2.9929112789399999</v>
      </c>
      <c r="H1551" s="35"/>
      <c r="I1551" s="31"/>
      <c r="J1551" s="156">
        <v>0</v>
      </c>
    </row>
    <row r="1552" spans="1:10" ht="15.75" hidden="1" thickBot="1" x14ac:dyDescent="0.3">
      <c r="A1552" s="223"/>
      <c r="B1552" s="226"/>
      <c r="C1552" s="36"/>
      <c r="D1552" s="36"/>
      <c r="E1552" s="37"/>
      <c r="F1552" s="31" t="s">
        <v>572</v>
      </c>
      <c r="G1552" s="31" t="str">
        <f t="shared" si="25"/>
        <v/>
      </c>
      <c r="H1552" s="35"/>
      <c r="I1552" s="31"/>
      <c r="J1552" s="156">
        <v>0</v>
      </c>
    </row>
    <row r="1553" spans="1:10" ht="15.75" hidden="1" thickBot="1" x14ac:dyDescent="0.3">
      <c r="A1553" s="221" t="s">
        <v>532</v>
      </c>
      <c r="B1553" s="224" t="str">
        <f>INDEX(Orçamentária!A:B,MATCH(Composições!A1553,Orçamentária!A:A,0),2)</f>
        <v>Eletroduto de PVC Corrugado Reforçado 1'' (DE 32mm)</v>
      </c>
      <c r="C1553" s="41"/>
      <c r="D1553" s="26" t="str">
        <f>TRIM(INDEX(Orçamentária!C:C,MATCH(Composições!A1553,Orçamentária!A:A,0),1))</f>
        <v>m</v>
      </c>
      <c r="E1553" s="27"/>
      <c r="F1553" s="42" t="s">
        <v>572</v>
      </c>
      <c r="G1553" s="28" t="str">
        <f t="shared" si="25"/>
        <v/>
      </c>
      <c r="H1553" s="29"/>
      <c r="I1553" s="30"/>
      <c r="J1553" s="156">
        <v>0</v>
      </c>
    </row>
    <row r="1554" spans="1:10" ht="15.75" hidden="1" thickBot="1" x14ac:dyDescent="0.3">
      <c r="A1554" s="222"/>
      <c r="B1554" s="225"/>
      <c r="C1554" s="32"/>
      <c r="D1554" s="32"/>
      <c r="E1554" s="33"/>
      <c r="F1554" s="43" t="s">
        <v>572</v>
      </c>
      <c r="G1554" s="31" t="str">
        <f t="shared" si="25"/>
        <v/>
      </c>
      <c r="H1554" s="35"/>
      <c r="I1554" s="31"/>
      <c r="J1554" s="156">
        <v>0</v>
      </c>
    </row>
    <row r="1555" spans="1:10" ht="26.25" hidden="1" thickBot="1" x14ac:dyDescent="0.3">
      <c r="A1555" s="222"/>
      <c r="B1555" s="225"/>
      <c r="C1555" s="36" t="s">
        <v>533</v>
      </c>
      <c r="D1555" s="36" t="s">
        <v>94</v>
      </c>
      <c r="E1555" s="37">
        <v>1.1000000000000001</v>
      </c>
      <c r="F1555" s="34">
        <v>5.6144999999999996</v>
      </c>
      <c r="G1555" s="34">
        <f t="shared" si="25"/>
        <v>6.1759500000000003</v>
      </c>
      <c r="H1555" s="39">
        <f>SUM(G1555:G1558)</f>
        <v>12.126313</v>
      </c>
      <c r="I1555" s="40"/>
      <c r="J1555" s="156">
        <v>0</v>
      </c>
    </row>
    <row r="1556" spans="1:10" ht="15.75" hidden="1" thickBot="1" x14ac:dyDescent="0.3">
      <c r="A1556" s="222"/>
      <c r="B1556" s="225"/>
      <c r="C1556" s="36" t="s">
        <v>30</v>
      </c>
      <c r="D1556" s="36" t="s">
        <v>12</v>
      </c>
      <c r="E1556" s="37">
        <v>0.09</v>
      </c>
      <c r="F1556" s="31">
        <v>22.268000000000001</v>
      </c>
      <c r="G1556" s="34">
        <f t="shared" si="25"/>
        <v>2.0041199999999999</v>
      </c>
      <c r="H1556" s="35"/>
      <c r="I1556" s="31"/>
      <c r="J1556" s="156">
        <v>0</v>
      </c>
    </row>
    <row r="1557" spans="1:10" ht="15.75" hidden="1" thickBot="1" x14ac:dyDescent="0.3">
      <c r="A1557" s="222"/>
      <c r="B1557" s="225"/>
      <c r="C1557" s="36" t="s">
        <v>74</v>
      </c>
      <c r="D1557" s="36" t="s">
        <v>12</v>
      </c>
      <c r="E1557" s="37">
        <v>0.09</v>
      </c>
      <c r="F1557" s="31">
        <v>17.366</v>
      </c>
      <c r="G1557" s="34">
        <f t="shared" ref="G1557:G1620" si="26">IF(ISNUMBER(F1557),E1557*F1557,"")</f>
        <v>1.56294</v>
      </c>
      <c r="H1557" s="35"/>
      <c r="I1557" s="31"/>
      <c r="J1557" s="156">
        <v>0</v>
      </c>
    </row>
    <row r="1558" spans="1:10" ht="39" hidden="1" thickBot="1" x14ac:dyDescent="0.3">
      <c r="A1558" s="222"/>
      <c r="B1558" s="225"/>
      <c r="C1558" s="36" t="s">
        <v>534</v>
      </c>
      <c r="D1558" s="36" t="s">
        <v>94</v>
      </c>
      <c r="E1558" s="37">
        <v>1</v>
      </c>
      <c r="F1558" s="34">
        <v>2.3833030000000002</v>
      </c>
      <c r="G1558" s="31">
        <f t="shared" si="26"/>
        <v>2.3833030000000002</v>
      </c>
      <c r="H1558" s="35"/>
      <c r="I1558" s="31"/>
      <c r="J1558" s="156">
        <v>0</v>
      </c>
    </row>
    <row r="1559" spans="1:10" ht="15.75" hidden="1" thickBot="1" x14ac:dyDescent="0.3">
      <c r="A1559" s="223"/>
      <c r="B1559" s="226"/>
      <c r="C1559" s="36"/>
      <c r="D1559" s="36"/>
      <c r="E1559" s="37"/>
      <c r="F1559" s="31" t="s">
        <v>572</v>
      </c>
      <c r="G1559" s="31" t="str">
        <f t="shared" si="26"/>
        <v/>
      </c>
      <c r="H1559" s="35"/>
      <c r="I1559" s="31"/>
      <c r="J1559" s="156">
        <v>0</v>
      </c>
    </row>
    <row r="1560" spans="1:10" ht="15.75" hidden="1" thickBot="1" x14ac:dyDescent="0.3">
      <c r="A1560" s="221" t="s">
        <v>535</v>
      </c>
      <c r="B1560" s="224" t="str">
        <f>INDEX(Orçamentária!A:B,MATCH(Composições!A1560,Orçamentária!A:A,0),2)</f>
        <v>Eletroduto de PVC Corrugado Reforçado 3/4'' (DE 25mm)</v>
      </c>
      <c r="C1560" s="41"/>
      <c r="D1560" s="26" t="str">
        <f>TRIM(INDEX(Orçamentária!C:C,MATCH(Composições!A1560,Orçamentária!A:A,0),1))</f>
        <v>m</v>
      </c>
      <c r="E1560" s="27"/>
      <c r="F1560" s="42" t="s">
        <v>572</v>
      </c>
      <c r="G1560" s="28" t="str">
        <f t="shared" si="26"/>
        <v/>
      </c>
      <c r="H1560" s="29"/>
      <c r="I1560" s="30"/>
      <c r="J1560" s="156">
        <v>0</v>
      </c>
    </row>
    <row r="1561" spans="1:10" ht="15.75" hidden="1" thickBot="1" x14ac:dyDescent="0.3">
      <c r="A1561" s="222"/>
      <c r="B1561" s="225"/>
      <c r="C1561" s="32"/>
      <c r="D1561" s="32"/>
      <c r="E1561" s="33"/>
      <c r="F1561" s="43" t="s">
        <v>572</v>
      </c>
      <c r="G1561" s="31" t="str">
        <f t="shared" si="26"/>
        <v/>
      </c>
      <c r="H1561" s="35"/>
      <c r="I1561" s="31"/>
      <c r="J1561" s="156">
        <v>0</v>
      </c>
    </row>
    <row r="1562" spans="1:10" ht="15.75" hidden="1" thickBot="1" x14ac:dyDescent="0.3">
      <c r="A1562" s="222"/>
      <c r="B1562" s="225"/>
      <c r="C1562" s="36" t="s">
        <v>30</v>
      </c>
      <c r="D1562" s="36" t="s">
        <v>12</v>
      </c>
      <c r="E1562" s="37">
        <v>7.0000000000000007E-2</v>
      </c>
      <c r="F1562" s="31">
        <v>22.268000000000001</v>
      </c>
      <c r="G1562" s="31">
        <f t="shared" si="26"/>
        <v>1.5587600000000001</v>
      </c>
      <c r="H1562" s="39">
        <f>SUM(G1562:G1565)</f>
        <v>8.3658330000000003</v>
      </c>
      <c r="I1562" s="40"/>
      <c r="J1562" s="156">
        <v>0</v>
      </c>
    </row>
    <row r="1563" spans="1:10" ht="15.75" hidden="1" thickBot="1" x14ac:dyDescent="0.3">
      <c r="A1563" s="222"/>
      <c r="B1563" s="225"/>
      <c r="C1563" s="36" t="s">
        <v>74</v>
      </c>
      <c r="D1563" s="36" t="s">
        <v>12</v>
      </c>
      <c r="E1563" s="37">
        <v>7.0000000000000007E-2</v>
      </c>
      <c r="F1563" s="31">
        <v>17.366</v>
      </c>
      <c r="G1563" s="31">
        <f t="shared" si="26"/>
        <v>1.2156200000000001</v>
      </c>
      <c r="H1563" s="35"/>
      <c r="I1563" s="31"/>
      <c r="J1563" s="156">
        <v>0</v>
      </c>
    </row>
    <row r="1564" spans="1:10" ht="26.25" hidden="1" thickBot="1" x14ac:dyDescent="0.3">
      <c r="A1564" s="222"/>
      <c r="B1564" s="225"/>
      <c r="C1564" s="36" t="s">
        <v>536</v>
      </c>
      <c r="D1564" s="36" t="s">
        <v>94</v>
      </c>
      <c r="E1564" s="37">
        <v>1.1000000000000001</v>
      </c>
      <c r="F1564" s="34">
        <v>2.9164999999999996</v>
      </c>
      <c r="G1564" s="31">
        <f t="shared" si="26"/>
        <v>3.2081499999999998</v>
      </c>
      <c r="H1564" s="35"/>
      <c r="I1564" s="31"/>
      <c r="J1564" s="156">
        <v>0</v>
      </c>
    </row>
    <row r="1565" spans="1:10" ht="39" hidden="1" thickBot="1" x14ac:dyDescent="0.3">
      <c r="A1565" s="222"/>
      <c r="B1565" s="225"/>
      <c r="C1565" s="36" t="s">
        <v>534</v>
      </c>
      <c r="D1565" s="36" t="s">
        <v>94</v>
      </c>
      <c r="E1565" s="37">
        <v>1</v>
      </c>
      <c r="F1565" s="34">
        <v>2.3833030000000002</v>
      </c>
      <c r="G1565" s="31">
        <f t="shared" si="26"/>
        <v>2.3833030000000002</v>
      </c>
      <c r="H1565" s="35"/>
      <c r="I1565" s="31"/>
      <c r="J1565" s="156">
        <v>0</v>
      </c>
    </row>
    <row r="1566" spans="1:10" ht="15.75" hidden="1" thickBot="1" x14ac:dyDescent="0.3">
      <c r="A1566" s="223"/>
      <c r="B1566" s="226"/>
      <c r="C1566" s="36"/>
      <c r="D1566" s="36"/>
      <c r="E1566" s="37"/>
      <c r="F1566" s="31" t="s">
        <v>572</v>
      </c>
      <c r="G1566" s="31" t="str">
        <f t="shared" si="26"/>
        <v/>
      </c>
      <c r="H1566" s="35"/>
      <c r="I1566" s="31"/>
      <c r="J1566" s="156">
        <v>0</v>
      </c>
    </row>
    <row r="1567" spans="1:10" ht="15.75" hidden="1" thickBot="1" x14ac:dyDescent="0.3">
      <c r="A1567" s="221" t="s">
        <v>537</v>
      </c>
      <c r="B1567" s="224" t="str">
        <f>INDEX(Orçamentária!A:B,MATCH(Composições!A1567,Orçamentária!A:A,0),2)</f>
        <v>Eletroduto flexível metálico com capa de PVC 1’’</v>
      </c>
      <c r="C1567" s="41"/>
      <c r="D1567" s="26" t="str">
        <f>TRIM(INDEX(Orçamentária!C:C,MATCH(Composições!A1567,Orçamentária!A:A,0),1))</f>
        <v>m</v>
      </c>
      <c r="E1567" s="27"/>
      <c r="F1567" s="42" t="s">
        <v>572</v>
      </c>
      <c r="G1567" s="28" t="str">
        <f t="shared" si="26"/>
        <v/>
      </c>
      <c r="H1567" s="29"/>
      <c r="I1567" s="30"/>
      <c r="J1567" s="156">
        <v>0</v>
      </c>
    </row>
    <row r="1568" spans="1:10" ht="15.75" hidden="1" thickBot="1" x14ac:dyDescent="0.3">
      <c r="A1568" s="222"/>
      <c r="B1568" s="225"/>
      <c r="C1568" s="32"/>
      <c r="D1568" s="32"/>
      <c r="E1568" s="33"/>
      <c r="F1568" s="43" t="s">
        <v>572</v>
      </c>
      <c r="G1568" s="31" t="str">
        <f t="shared" si="26"/>
        <v/>
      </c>
      <c r="H1568" s="35"/>
      <c r="I1568" s="31"/>
      <c r="J1568" s="156">
        <v>0</v>
      </c>
    </row>
    <row r="1569" spans="1:10" ht="26.25" hidden="1" thickBot="1" x14ac:dyDescent="0.3">
      <c r="A1569" s="222"/>
      <c r="B1569" s="225"/>
      <c r="C1569" s="36" t="s">
        <v>538</v>
      </c>
      <c r="D1569" s="36" t="s">
        <v>94</v>
      </c>
      <c r="E1569" s="37">
        <v>1.1000000000000001</v>
      </c>
      <c r="F1569" s="34">
        <v>13.7845</v>
      </c>
      <c r="G1569" s="31">
        <f t="shared" si="26"/>
        <v>15.16295</v>
      </c>
      <c r="H1569" s="39">
        <f>SUM(G1569:G1572)</f>
        <v>19.441465000000001</v>
      </c>
      <c r="I1569" s="40"/>
      <c r="J1569" s="156">
        <v>0</v>
      </c>
    </row>
    <row r="1570" spans="1:10" ht="26.25" hidden="1" thickBot="1" x14ac:dyDescent="0.3">
      <c r="A1570" s="222"/>
      <c r="B1570" s="225"/>
      <c r="C1570" s="36" t="s">
        <v>3606</v>
      </c>
      <c r="D1570" s="36" t="s">
        <v>42</v>
      </c>
      <c r="E1570" s="37">
        <v>2E-3</v>
      </c>
      <c r="F1570" s="34">
        <v>18.838499999999996</v>
      </c>
      <c r="G1570" s="31">
        <f t="shared" si="26"/>
        <v>3.7676999999999995E-2</v>
      </c>
      <c r="H1570" s="35"/>
      <c r="I1570" s="31"/>
      <c r="J1570" s="156">
        <v>0</v>
      </c>
    </row>
    <row r="1571" spans="1:10" ht="15.75" hidden="1" thickBot="1" x14ac:dyDescent="0.3">
      <c r="A1571" s="222"/>
      <c r="B1571" s="225"/>
      <c r="C1571" s="36" t="s">
        <v>74</v>
      </c>
      <c r="D1571" s="47" t="s">
        <v>12</v>
      </c>
      <c r="E1571" s="37">
        <v>0.107</v>
      </c>
      <c r="F1571" s="31">
        <v>17.366</v>
      </c>
      <c r="G1571" s="31">
        <f t="shared" si="26"/>
        <v>1.8581619999999999</v>
      </c>
      <c r="H1571" s="35"/>
      <c r="I1571" s="31"/>
      <c r="J1571" s="156">
        <v>0</v>
      </c>
    </row>
    <row r="1572" spans="1:10" ht="15.75" hidden="1" thickBot="1" x14ac:dyDescent="0.3">
      <c r="A1572" s="222"/>
      <c r="B1572" s="225"/>
      <c r="C1572" s="36" t="s">
        <v>30</v>
      </c>
      <c r="D1572" s="36" t="s">
        <v>12</v>
      </c>
      <c r="E1572" s="37">
        <v>0.107</v>
      </c>
      <c r="F1572" s="31">
        <v>22.268000000000001</v>
      </c>
      <c r="G1572" s="31">
        <f t="shared" si="26"/>
        <v>2.382676</v>
      </c>
      <c r="H1572" s="35"/>
      <c r="I1572" s="31"/>
      <c r="J1572" s="156">
        <v>0</v>
      </c>
    </row>
    <row r="1573" spans="1:10" ht="15.75" hidden="1" thickBot="1" x14ac:dyDescent="0.3">
      <c r="A1573" s="223"/>
      <c r="B1573" s="226"/>
      <c r="C1573" s="36"/>
      <c r="D1573" s="36"/>
      <c r="E1573" s="37"/>
      <c r="F1573" s="31" t="s">
        <v>572</v>
      </c>
      <c r="G1573" s="31" t="str">
        <f t="shared" si="26"/>
        <v/>
      </c>
      <c r="H1573" s="35"/>
      <c r="I1573" s="31"/>
      <c r="J1573" s="156">
        <v>0</v>
      </c>
    </row>
    <row r="1574" spans="1:10" ht="15.75" hidden="1" thickBot="1" x14ac:dyDescent="0.3">
      <c r="A1574" s="221" t="s">
        <v>539</v>
      </c>
      <c r="B1574" s="224" t="str">
        <f>INDEX(Orçamentária!A:B,MATCH(Composições!A1574,Orçamentária!A:A,0),2)</f>
        <v>Eletroduto flexível metálico com capa de PVC 3/4"</v>
      </c>
      <c r="C1574" s="41"/>
      <c r="D1574" s="26" t="str">
        <f>TRIM(INDEX(Orçamentária!C:C,MATCH(Composições!A1574,Orçamentária!A:A,0),1))</f>
        <v>m</v>
      </c>
      <c r="E1574" s="27"/>
      <c r="F1574" s="42" t="s">
        <v>572</v>
      </c>
      <c r="G1574" s="28" t="str">
        <f t="shared" si="26"/>
        <v/>
      </c>
      <c r="H1574" s="29"/>
      <c r="I1574" s="30"/>
      <c r="J1574" s="156">
        <v>0</v>
      </c>
    </row>
    <row r="1575" spans="1:10" ht="15.75" hidden="1" thickBot="1" x14ac:dyDescent="0.3">
      <c r="A1575" s="222"/>
      <c r="B1575" s="225"/>
      <c r="C1575" s="32"/>
      <c r="D1575" s="32"/>
      <c r="E1575" s="33"/>
      <c r="F1575" s="43" t="s">
        <v>572</v>
      </c>
      <c r="G1575" s="31" t="str">
        <f t="shared" si="26"/>
        <v/>
      </c>
      <c r="H1575" s="35"/>
      <c r="I1575" s="31"/>
      <c r="J1575" s="156">
        <v>0</v>
      </c>
    </row>
    <row r="1576" spans="1:10" ht="26.25" hidden="1" thickBot="1" x14ac:dyDescent="0.3">
      <c r="A1576" s="222"/>
      <c r="B1576" s="225"/>
      <c r="C1576" s="36" t="s">
        <v>540</v>
      </c>
      <c r="D1576" s="36" t="s">
        <v>94</v>
      </c>
      <c r="E1576" s="37">
        <v>1.1000000000000001</v>
      </c>
      <c r="F1576" s="34">
        <v>10.507</v>
      </c>
      <c r="G1576" s="34">
        <f t="shared" si="26"/>
        <v>11.557700000000001</v>
      </c>
      <c r="H1576" s="39">
        <f>SUM(G1576:G1579)</f>
        <v>15.039767299999999</v>
      </c>
      <c r="I1576" s="40"/>
      <c r="J1576" s="156">
        <v>0</v>
      </c>
    </row>
    <row r="1577" spans="1:10" ht="26.25" hidden="1" thickBot="1" x14ac:dyDescent="0.3">
      <c r="A1577" s="222"/>
      <c r="B1577" s="225"/>
      <c r="C1577" s="36" t="s">
        <v>3606</v>
      </c>
      <c r="D1577" s="36" t="s">
        <v>42</v>
      </c>
      <c r="E1577" s="37">
        <v>1.8E-3</v>
      </c>
      <c r="F1577" s="34">
        <v>18.838499999999996</v>
      </c>
      <c r="G1577" s="34">
        <f t="shared" si="26"/>
        <v>3.3909299999999989E-2</v>
      </c>
      <c r="H1577" s="35"/>
      <c r="I1577" s="31"/>
      <c r="J1577" s="156">
        <v>0</v>
      </c>
    </row>
    <row r="1578" spans="1:10" ht="15.75" hidden="1" thickBot="1" x14ac:dyDescent="0.3">
      <c r="A1578" s="222"/>
      <c r="B1578" s="225"/>
      <c r="C1578" s="36" t="s">
        <v>74</v>
      </c>
      <c r="D1578" s="47" t="s">
        <v>12</v>
      </c>
      <c r="E1578" s="37">
        <v>8.6999999999999994E-2</v>
      </c>
      <c r="F1578" s="31">
        <v>17.366</v>
      </c>
      <c r="G1578" s="34">
        <f t="shared" si="26"/>
        <v>1.5108419999999998</v>
      </c>
      <c r="H1578" s="35"/>
      <c r="I1578" s="31"/>
      <c r="J1578" s="156">
        <v>0</v>
      </c>
    </row>
    <row r="1579" spans="1:10" ht="15.75" hidden="1" thickBot="1" x14ac:dyDescent="0.3">
      <c r="A1579" s="222"/>
      <c r="B1579" s="225"/>
      <c r="C1579" s="36" t="s">
        <v>30</v>
      </c>
      <c r="D1579" s="36" t="s">
        <v>12</v>
      </c>
      <c r="E1579" s="37">
        <v>8.6999999999999994E-2</v>
      </c>
      <c r="F1579" s="31">
        <v>22.268000000000001</v>
      </c>
      <c r="G1579" s="34">
        <f t="shared" si="26"/>
        <v>1.9373159999999998</v>
      </c>
      <c r="H1579" s="35"/>
      <c r="I1579" s="31"/>
      <c r="J1579" s="156">
        <v>0</v>
      </c>
    </row>
    <row r="1580" spans="1:10" ht="15.75" hidden="1" thickBot="1" x14ac:dyDescent="0.3">
      <c r="A1580" s="223"/>
      <c r="B1580" s="226"/>
      <c r="C1580" s="36"/>
      <c r="D1580" s="36"/>
      <c r="E1580" s="37"/>
      <c r="F1580" s="31" t="s">
        <v>572</v>
      </c>
      <c r="G1580" s="31" t="str">
        <f t="shared" si="26"/>
        <v/>
      </c>
      <c r="H1580" s="35"/>
      <c r="I1580" s="31"/>
      <c r="J1580" s="156">
        <v>0</v>
      </c>
    </row>
    <row r="1581" spans="1:10" ht="15.75" hidden="1" thickBot="1" x14ac:dyDescent="0.3">
      <c r="A1581" s="221" t="s">
        <v>541</v>
      </c>
      <c r="B1581" s="224" t="str">
        <f>INDEX(Orçamentária!A:B,MATCH(Composições!A1581,Orçamentária!A:A,0),2)</f>
        <v>Perfilado 38x38mm</v>
      </c>
      <c r="C1581" s="41"/>
      <c r="D1581" s="26" t="str">
        <f>TRIM(INDEX(Orçamentária!C:C,MATCH(Composições!A1581,Orçamentária!A:A,0),1))</f>
        <v>m</v>
      </c>
      <c r="E1581" s="27"/>
      <c r="F1581" s="42" t="s">
        <v>572</v>
      </c>
      <c r="G1581" s="28" t="str">
        <f t="shared" si="26"/>
        <v/>
      </c>
      <c r="H1581" s="29"/>
      <c r="I1581" s="30"/>
      <c r="J1581" s="156">
        <v>0</v>
      </c>
    </row>
    <row r="1582" spans="1:10" ht="15.75" hidden="1" thickBot="1" x14ac:dyDescent="0.3">
      <c r="A1582" s="222"/>
      <c r="B1582" s="225"/>
      <c r="C1582" s="32"/>
      <c r="D1582" s="32"/>
      <c r="E1582" s="33"/>
      <c r="F1582" s="43" t="s">
        <v>572</v>
      </c>
      <c r="G1582" s="31" t="str">
        <f t="shared" si="26"/>
        <v/>
      </c>
      <c r="H1582" s="35"/>
      <c r="I1582" s="31"/>
      <c r="J1582" s="156">
        <v>0</v>
      </c>
    </row>
    <row r="1583" spans="1:10" ht="15.75" hidden="1" thickBot="1" x14ac:dyDescent="0.3">
      <c r="A1583" s="222"/>
      <c r="B1583" s="225"/>
      <c r="C1583" s="36" t="s">
        <v>542</v>
      </c>
      <c r="D1583" s="36" t="s">
        <v>94</v>
      </c>
      <c r="E1583" s="37">
        <v>1.05</v>
      </c>
      <c r="F1583" s="34" t="s">
        <v>572</v>
      </c>
      <c r="G1583" s="34" t="str">
        <f t="shared" si="26"/>
        <v/>
      </c>
      <c r="H1583" s="39">
        <f>SUM(G1583:G1594)</f>
        <v>19.528955249999999</v>
      </c>
      <c r="I1583" s="40"/>
      <c r="J1583" s="156">
        <v>0</v>
      </c>
    </row>
    <row r="1584" spans="1:10" ht="15.75" hidden="1" thickBot="1" x14ac:dyDescent="0.3">
      <c r="A1584" s="222"/>
      <c r="B1584" s="225"/>
      <c r="C1584" s="36" t="s">
        <v>74</v>
      </c>
      <c r="D1584" s="36" t="s">
        <v>12</v>
      </c>
      <c r="E1584" s="37">
        <v>0.45</v>
      </c>
      <c r="F1584" s="31">
        <v>17.366</v>
      </c>
      <c r="G1584" s="34">
        <f t="shared" si="26"/>
        <v>7.8147000000000002</v>
      </c>
      <c r="H1584" s="35"/>
      <c r="I1584" s="31"/>
      <c r="J1584" s="156">
        <v>0</v>
      </c>
    </row>
    <row r="1585" spans="1:10" ht="15.75" hidden="1" thickBot="1" x14ac:dyDescent="0.3">
      <c r="A1585" s="222"/>
      <c r="B1585" s="225"/>
      <c r="C1585" s="36" t="s">
        <v>30</v>
      </c>
      <c r="D1585" s="36" t="s">
        <v>12</v>
      </c>
      <c r="E1585" s="37">
        <v>0.45</v>
      </c>
      <c r="F1585" s="31">
        <v>22.268000000000001</v>
      </c>
      <c r="G1585" s="34">
        <f t="shared" si="26"/>
        <v>10.0206</v>
      </c>
      <c r="H1585" s="35"/>
      <c r="I1585" s="31"/>
      <c r="J1585" s="156">
        <v>0</v>
      </c>
    </row>
    <row r="1586" spans="1:10" ht="26.25" hidden="1" thickBot="1" x14ac:dyDescent="0.3">
      <c r="A1586" s="222"/>
      <c r="B1586" s="225"/>
      <c r="C1586" s="36" t="s">
        <v>481</v>
      </c>
      <c r="D1586" s="36" t="s">
        <v>150</v>
      </c>
      <c r="E1586" s="37">
        <v>0.67</v>
      </c>
      <c r="F1586" s="31">
        <v>0</v>
      </c>
      <c r="G1586" s="34">
        <f t="shared" si="26"/>
        <v>0</v>
      </c>
      <c r="H1586" s="35"/>
      <c r="I1586" s="31"/>
      <c r="J1586" s="156">
        <v>0</v>
      </c>
    </row>
    <row r="1587" spans="1:10" ht="15.75" hidden="1" thickBot="1" x14ac:dyDescent="0.3">
      <c r="A1587" s="222"/>
      <c r="B1587" s="225"/>
      <c r="C1587" s="36" t="s">
        <v>543</v>
      </c>
      <c r="D1587" s="36" t="s">
        <v>150</v>
      </c>
      <c r="E1587" s="37">
        <v>0.67</v>
      </c>
      <c r="F1587" s="31">
        <v>0</v>
      </c>
      <c r="G1587" s="34">
        <f t="shared" si="26"/>
        <v>0</v>
      </c>
      <c r="H1587" s="35"/>
      <c r="I1587" s="31"/>
      <c r="J1587" s="156">
        <v>0</v>
      </c>
    </row>
    <row r="1588" spans="1:10" ht="15.75" hidden="1" thickBot="1" x14ac:dyDescent="0.3">
      <c r="A1588" s="222"/>
      <c r="B1588" s="225"/>
      <c r="C1588" s="36" t="s">
        <v>483</v>
      </c>
      <c r="D1588" s="36" t="s">
        <v>94</v>
      </c>
      <c r="E1588" s="37">
        <v>0.8</v>
      </c>
      <c r="F1588" s="31">
        <v>0</v>
      </c>
      <c r="G1588" s="34">
        <f t="shared" si="26"/>
        <v>0</v>
      </c>
      <c r="H1588" s="35"/>
      <c r="I1588" s="31"/>
      <c r="J1588" s="156">
        <v>0</v>
      </c>
    </row>
    <row r="1589" spans="1:10" ht="15.75" hidden="1" thickBot="1" x14ac:dyDescent="0.3">
      <c r="A1589" s="222"/>
      <c r="B1589" s="225"/>
      <c r="C1589" s="36" t="s">
        <v>484</v>
      </c>
      <c r="D1589" s="36" t="s">
        <v>299</v>
      </c>
      <c r="E1589" s="37">
        <v>2.6633</v>
      </c>
      <c r="F1589" s="34">
        <v>0.14249999999999999</v>
      </c>
      <c r="G1589" s="34">
        <f t="shared" si="26"/>
        <v>0.37952024999999995</v>
      </c>
      <c r="H1589" s="35"/>
      <c r="I1589" s="31"/>
      <c r="J1589" s="156">
        <v>0</v>
      </c>
    </row>
    <row r="1590" spans="1:10" ht="15.75" hidden="1" thickBot="1" x14ac:dyDescent="0.3">
      <c r="A1590" s="222"/>
      <c r="B1590" s="225"/>
      <c r="C1590" s="36" t="s">
        <v>485</v>
      </c>
      <c r="D1590" s="36" t="s">
        <v>150</v>
      </c>
      <c r="E1590" s="37">
        <v>2.6633</v>
      </c>
      <c r="F1590" s="31">
        <v>0</v>
      </c>
      <c r="G1590" s="34">
        <f t="shared" si="26"/>
        <v>0</v>
      </c>
      <c r="H1590" s="35"/>
      <c r="I1590" s="31"/>
      <c r="J1590" s="156">
        <v>0</v>
      </c>
    </row>
    <row r="1591" spans="1:10" ht="15.75" hidden="1" thickBot="1" x14ac:dyDescent="0.3">
      <c r="A1591" s="222"/>
      <c r="B1591" s="225"/>
      <c r="C1591" s="36" t="s">
        <v>487</v>
      </c>
      <c r="D1591" s="36" t="s">
        <v>150</v>
      </c>
      <c r="E1591" s="37">
        <v>0.67</v>
      </c>
      <c r="F1591" s="31">
        <v>0</v>
      </c>
      <c r="G1591" s="34">
        <f t="shared" si="26"/>
        <v>0</v>
      </c>
      <c r="H1591" s="35"/>
      <c r="I1591" s="31"/>
      <c r="J1591" s="156">
        <v>0</v>
      </c>
    </row>
    <row r="1592" spans="1:10" ht="15.75" hidden="1" thickBot="1" x14ac:dyDescent="0.3">
      <c r="A1592" s="222"/>
      <c r="B1592" s="225"/>
      <c r="C1592" s="36" t="s">
        <v>488</v>
      </c>
      <c r="D1592" s="36" t="s">
        <v>20</v>
      </c>
      <c r="E1592" s="37">
        <v>1.33</v>
      </c>
      <c r="F1592" s="31">
        <v>0</v>
      </c>
      <c r="G1592" s="34">
        <f t="shared" si="26"/>
        <v>0</v>
      </c>
      <c r="H1592" s="35"/>
      <c r="I1592" s="31"/>
      <c r="J1592" s="156">
        <v>0</v>
      </c>
    </row>
    <row r="1593" spans="1:10" ht="15.75" hidden="1" thickBot="1" x14ac:dyDescent="0.3">
      <c r="A1593" s="222"/>
      <c r="B1593" s="225"/>
      <c r="C1593" s="36" t="s">
        <v>544</v>
      </c>
      <c r="D1593" s="36" t="s">
        <v>150</v>
      </c>
      <c r="E1593" s="37">
        <v>0.33329999999999999</v>
      </c>
      <c r="F1593" s="31">
        <v>0.95</v>
      </c>
      <c r="G1593" s="34">
        <f t="shared" si="26"/>
        <v>0.31663499999999994</v>
      </c>
      <c r="H1593" s="35"/>
      <c r="I1593" s="31"/>
      <c r="J1593" s="156">
        <v>0</v>
      </c>
    </row>
    <row r="1594" spans="1:10" ht="15.75" hidden="1" thickBot="1" x14ac:dyDescent="0.3">
      <c r="A1594" s="222"/>
      <c r="B1594" s="225"/>
      <c r="C1594" s="36" t="s">
        <v>545</v>
      </c>
      <c r="D1594" s="36" t="s">
        <v>94</v>
      </c>
      <c r="E1594" s="37">
        <v>1.05</v>
      </c>
      <c r="F1594" s="31">
        <v>0.95</v>
      </c>
      <c r="G1594" s="34">
        <f t="shared" si="26"/>
        <v>0.99749999999999994</v>
      </c>
      <c r="H1594" s="35"/>
      <c r="I1594" s="31"/>
      <c r="J1594" s="156">
        <v>0</v>
      </c>
    </row>
    <row r="1595" spans="1:10" ht="15.75" hidden="1" thickBot="1" x14ac:dyDescent="0.3">
      <c r="A1595" s="223"/>
      <c r="B1595" s="226"/>
      <c r="C1595" s="36"/>
      <c r="D1595" s="36"/>
      <c r="E1595" s="37"/>
      <c r="F1595" s="31" t="s">
        <v>572</v>
      </c>
      <c r="G1595" s="31" t="str">
        <f t="shared" si="26"/>
        <v/>
      </c>
      <c r="H1595" s="35"/>
      <c r="I1595" s="31"/>
      <c r="J1595" s="156">
        <v>0</v>
      </c>
    </row>
    <row r="1596" spans="1:10" ht="15.75" hidden="1" thickBot="1" x14ac:dyDescent="0.3">
      <c r="A1596" s="221" t="s">
        <v>546</v>
      </c>
      <c r="B1596" s="224" t="str">
        <f>INDEX(Orçamentária!A:B,MATCH(Composições!A1596,Orçamentária!A:A,0),2)</f>
        <v>Espelho 4x2</v>
      </c>
      <c r="C1596" s="41"/>
      <c r="D1596" s="26" t="str">
        <f>TRIM(INDEX(Orçamentária!C:C,MATCH(Composições!A1596,Orçamentária!A:A,0),1))</f>
        <v>un</v>
      </c>
      <c r="E1596" s="27"/>
      <c r="F1596" s="42" t="s">
        <v>572</v>
      </c>
      <c r="G1596" s="28" t="str">
        <f t="shared" si="26"/>
        <v/>
      </c>
      <c r="H1596" s="29"/>
      <c r="I1596" s="30"/>
      <c r="J1596" s="156">
        <v>0</v>
      </c>
    </row>
    <row r="1597" spans="1:10" ht="15.75" hidden="1" thickBot="1" x14ac:dyDescent="0.3">
      <c r="A1597" s="222"/>
      <c r="B1597" s="225"/>
      <c r="C1597" s="32"/>
      <c r="D1597" s="32"/>
      <c r="E1597" s="33"/>
      <c r="F1597" s="43" t="s">
        <v>572</v>
      </c>
      <c r="G1597" s="31" t="str">
        <f t="shared" si="26"/>
        <v/>
      </c>
      <c r="H1597" s="35"/>
      <c r="I1597" s="31"/>
      <c r="J1597" s="156">
        <v>0</v>
      </c>
    </row>
    <row r="1598" spans="1:10" ht="26.25" hidden="1" thickBot="1" x14ac:dyDescent="0.3">
      <c r="A1598" s="222"/>
      <c r="B1598" s="225"/>
      <c r="C1598" s="36" t="s">
        <v>547</v>
      </c>
      <c r="D1598" s="36" t="s">
        <v>20</v>
      </c>
      <c r="E1598" s="37">
        <v>1</v>
      </c>
      <c r="F1598" s="34">
        <v>2.4034999999999997</v>
      </c>
      <c r="G1598" s="34">
        <f t="shared" si="26"/>
        <v>2.4034999999999997</v>
      </c>
      <c r="H1598" s="39">
        <f>SUM(G1598:G1600)</f>
        <v>5.6075839999999992</v>
      </c>
      <c r="I1598" s="40"/>
      <c r="J1598" s="156">
        <v>0</v>
      </c>
    </row>
    <row r="1599" spans="1:10" ht="26.25" hidden="1" thickBot="1" x14ac:dyDescent="0.3">
      <c r="A1599" s="222"/>
      <c r="B1599" s="225"/>
      <c r="C1599" s="36" t="s">
        <v>548</v>
      </c>
      <c r="D1599" s="36" t="s">
        <v>20</v>
      </c>
      <c r="E1599" s="37">
        <v>1</v>
      </c>
      <c r="F1599" s="34">
        <v>1.2444999999999999</v>
      </c>
      <c r="G1599" s="34">
        <f t="shared" si="26"/>
        <v>1.2444999999999999</v>
      </c>
      <c r="H1599" s="35"/>
      <c r="I1599" s="31"/>
      <c r="J1599" s="156">
        <v>0</v>
      </c>
    </row>
    <row r="1600" spans="1:10" ht="15.75" hidden="1" thickBot="1" x14ac:dyDescent="0.3">
      <c r="A1600" s="222"/>
      <c r="B1600" s="225"/>
      <c r="C1600" s="36" t="s">
        <v>30</v>
      </c>
      <c r="D1600" s="36" t="s">
        <v>12</v>
      </c>
      <c r="E1600" s="37">
        <v>8.7999999999999995E-2</v>
      </c>
      <c r="F1600" s="31">
        <v>22.268000000000001</v>
      </c>
      <c r="G1600" s="34">
        <f t="shared" si="26"/>
        <v>1.959584</v>
      </c>
      <c r="H1600" s="35"/>
      <c r="I1600" s="31"/>
      <c r="J1600" s="156">
        <v>0</v>
      </c>
    </row>
    <row r="1601" spans="1:10" ht="15.75" hidden="1" thickBot="1" x14ac:dyDescent="0.3">
      <c r="A1601" s="223"/>
      <c r="B1601" s="226"/>
      <c r="C1601" s="36"/>
      <c r="D1601" s="36"/>
      <c r="E1601" s="37"/>
      <c r="F1601" s="31" t="s">
        <v>572</v>
      </c>
      <c r="G1601" s="31" t="str">
        <f t="shared" si="26"/>
        <v/>
      </c>
      <c r="H1601" s="35"/>
      <c r="I1601" s="31"/>
      <c r="J1601" s="156">
        <v>0</v>
      </c>
    </row>
    <row r="1602" spans="1:10" ht="15.75" hidden="1" thickBot="1" x14ac:dyDescent="0.3">
      <c r="A1602" s="221" t="s">
        <v>549</v>
      </c>
      <c r="B1602" s="224" t="str">
        <f>INDEX(Orçamentária!A:B,MATCH(Composições!A1602,Orçamentária!A:A,0),2)</f>
        <v>Espelho 4x4</v>
      </c>
      <c r="C1602" s="41"/>
      <c r="D1602" s="26" t="str">
        <f>TRIM(INDEX(Orçamentária!C:C,MATCH(Composições!A1602,Orçamentária!A:A,0),1))</f>
        <v>un</v>
      </c>
      <c r="E1602" s="27"/>
      <c r="F1602" s="42" t="s">
        <v>572</v>
      </c>
      <c r="G1602" s="28" t="str">
        <f t="shared" si="26"/>
        <v/>
      </c>
      <c r="H1602" s="29"/>
      <c r="I1602" s="30"/>
      <c r="J1602" s="156">
        <v>0</v>
      </c>
    </row>
    <row r="1603" spans="1:10" ht="15.75" hidden="1" thickBot="1" x14ac:dyDescent="0.3">
      <c r="A1603" s="222"/>
      <c r="B1603" s="225"/>
      <c r="C1603" s="32"/>
      <c r="D1603" s="32"/>
      <c r="E1603" s="33"/>
      <c r="F1603" s="43" t="s">
        <v>572</v>
      </c>
      <c r="G1603" s="31" t="str">
        <f t="shared" si="26"/>
        <v/>
      </c>
      <c r="H1603" s="35"/>
      <c r="I1603" s="31"/>
      <c r="J1603" s="156">
        <v>0</v>
      </c>
    </row>
    <row r="1604" spans="1:10" ht="26.25" hidden="1" thickBot="1" x14ac:dyDescent="0.3">
      <c r="A1604" s="222"/>
      <c r="B1604" s="225"/>
      <c r="C1604" s="36" t="s">
        <v>550</v>
      </c>
      <c r="D1604" s="36" t="s">
        <v>20</v>
      </c>
      <c r="E1604" s="37">
        <v>1</v>
      </c>
      <c r="F1604" s="34">
        <v>4.8829999999999991</v>
      </c>
      <c r="G1604" s="31">
        <f t="shared" si="26"/>
        <v>4.8829999999999991</v>
      </c>
      <c r="H1604" s="39">
        <f>SUM(G1604:G1606)</f>
        <v>9.2413720000000001</v>
      </c>
      <c r="I1604" s="40"/>
      <c r="J1604" s="156">
        <v>0</v>
      </c>
    </row>
    <row r="1605" spans="1:10" ht="26.25" hidden="1" thickBot="1" x14ac:dyDescent="0.3">
      <c r="A1605" s="222"/>
      <c r="B1605" s="225"/>
      <c r="C1605" s="36" t="s">
        <v>551</v>
      </c>
      <c r="D1605" s="47" t="s">
        <v>20</v>
      </c>
      <c r="E1605" s="37">
        <v>1</v>
      </c>
      <c r="F1605" s="34">
        <v>2.0425</v>
      </c>
      <c r="G1605" s="34">
        <f t="shared" si="26"/>
        <v>2.0425</v>
      </c>
      <c r="H1605" s="35"/>
      <c r="I1605" s="31"/>
      <c r="J1605" s="156">
        <v>0</v>
      </c>
    </row>
    <row r="1606" spans="1:10" ht="15.75" hidden="1" thickBot="1" x14ac:dyDescent="0.3">
      <c r="A1606" s="222"/>
      <c r="B1606" s="225"/>
      <c r="C1606" s="36" t="s">
        <v>30</v>
      </c>
      <c r="D1606" s="36" t="s">
        <v>12</v>
      </c>
      <c r="E1606" s="37">
        <v>0.104</v>
      </c>
      <c r="F1606" s="31">
        <v>22.268000000000001</v>
      </c>
      <c r="G1606" s="34">
        <f t="shared" si="26"/>
        <v>2.3158720000000002</v>
      </c>
      <c r="H1606" s="35"/>
      <c r="I1606" s="31"/>
      <c r="J1606" s="156">
        <v>0</v>
      </c>
    </row>
    <row r="1607" spans="1:10" ht="15.75" hidden="1" thickBot="1" x14ac:dyDescent="0.3">
      <c r="A1607" s="223"/>
      <c r="B1607" s="226"/>
      <c r="C1607" s="36"/>
      <c r="D1607" s="36"/>
      <c r="E1607" s="37"/>
      <c r="F1607" s="31" t="s">
        <v>572</v>
      </c>
      <c r="G1607" s="31" t="str">
        <f t="shared" si="26"/>
        <v/>
      </c>
      <c r="H1607" s="35"/>
      <c r="I1607" s="31"/>
      <c r="J1607" s="156">
        <v>0</v>
      </c>
    </row>
    <row r="1608" spans="1:10" ht="15.75" hidden="1" thickBot="1" x14ac:dyDescent="0.3">
      <c r="A1608" s="221" t="s">
        <v>552</v>
      </c>
      <c r="B1608" s="224" t="str">
        <f>INDEX(Orçamentária!A:B,MATCH(Composições!A1608,Orçamentária!A:A,0),2)</f>
        <v>Espelho cego redondo</v>
      </c>
      <c r="C1608" s="41"/>
      <c r="D1608" s="26" t="str">
        <f>TRIM(INDEX(Orçamentária!C:C,MATCH(Composições!A1608,Orçamentária!A:A,0),1))</f>
        <v>un</v>
      </c>
      <c r="E1608" s="27"/>
      <c r="F1608" s="42" t="s">
        <v>572</v>
      </c>
      <c r="G1608" s="28" t="str">
        <f t="shared" si="26"/>
        <v/>
      </c>
      <c r="H1608" s="29"/>
      <c r="I1608" s="30"/>
      <c r="J1608" s="156">
        <v>0</v>
      </c>
    </row>
    <row r="1609" spans="1:10" ht="15.75" hidden="1" thickBot="1" x14ac:dyDescent="0.3">
      <c r="A1609" s="222"/>
      <c r="B1609" s="225"/>
      <c r="C1609" s="32"/>
      <c r="D1609" s="32"/>
      <c r="E1609" s="33"/>
      <c r="F1609" s="43" t="s">
        <v>572</v>
      </c>
      <c r="G1609" s="31" t="str">
        <f t="shared" si="26"/>
        <v/>
      </c>
      <c r="H1609" s="35"/>
      <c r="I1609" s="31"/>
      <c r="J1609" s="156">
        <v>0</v>
      </c>
    </row>
    <row r="1610" spans="1:10" ht="15.75" hidden="1" thickBot="1" x14ac:dyDescent="0.3">
      <c r="A1610" s="222"/>
      <c r="B1610" s="225"/>
      <c r="C1610" s="36" t="s">
        <v>553</v>
      </c>
      <c r="D1610" s="36" t="s">
        <v>20</v>
      </c>
      <c r="E1610" s="37">
        <v>1</v>
      </c>
      <c r="F1610" s="34" t="s">
        <v>572</v>
      </c>
      <c r="G1610" s="31" t="str">
        <f t="shared" si="26"/>
        <v/>
      </c>
      <c r="H1610" s="39">
        <f>SUM(G1610:G1612)</f>
        <v>4.3583720000000001</v>
      </c>
      <c r="I1610" s="40"/>
      <c r="J1610" s="156">
        <v>0</v>
      </c>
    </row>
    <row r="1611" spans="1:10" ht="26.25" hidden="1" thickBot="1" x14ac:dyDescent="0.3">
      <c r="A1611" s="222"/>
      <c r="B1611" s="225"/>
      <c r="C1611" s="36" t="s">
        <v>551</v>
      </c>
      <c r="D1611" s="47" t="s">
        <v>20</v>
      </c>
      <c r="E1611" s="37">
        <v>1</v>
      </c>
      <c r="F1611" s="34">
        <v>2.0425</v>
      </c>
      <c r="G1611" s="34">
        <f t="shared" si="26"/>
        <v>2.0425</v>
      </c>
      <c r="H1611" s="35"/>
      <c r="I1611" s="31"/>
      <c r="J1611" s="156">
        <v>0</v>
      </c>
    </row>
    <row r="1612" spans="1:10" ht="15.75" hidden="1" thickBot="1" x14ac:dyDescent="0.3">
      <c r="A1612" s="222"/>
      <c r="B1612" s="225"/>
      <c r="C1612" s="36" t="s">
        <v>30</v>
      </c>
      <c r="D1612" s="36" t="s">
        <v>12</v>
      </c>
      <c r="E1612" s="37">
        <v>0.104</v>
      </c>
      <c r="F1612" s="31">
        <v>22.268000000000001</v>
      </c>
      <c r="G1612" s="34">
        <f t="shared" si="26"/>
        <v>2.3158720000000002</v>
      </c>
      <c r="H1612" s="35"/>
      <c r="I1612" s="31"/>
      <c r="J1612" s="156">
        <v>0</v>
      </c>
    </row>
    <row r="1613" spans="1:10" ht="15.75" hidden="1" thickBot="1" x14ac:dyDescent="0.3">
      <c r="A1613" s="223"/>
      <c r="B1613" s="226"/>
      <c r="C1613" s="36"/>
      <c r="D1613" s="36"/>
      <c r="E1613" s="37"/>
      <c r="F1613" s="31" t="s">
        <v>572</v>
      </c>
      <c r="G1613" s="31" t="str">
        <f t="shared" si="26"/>
        <v/>
      </c>
      <c r="H1613" s="35"/>
      <c r="I1613" s="31"/>
      <c r="J1613" s="156">
        <v>0</v>
      </c>
    </row>
    <row r="1614" spans="1:10" ht="15.75" hidden="1" thickBot="1" x14ac:dyDescent="0.3">
      <c r="A1614" s="221" t="s">
        <v>554</v>
      </c>
      <c r="B1614" s="224" t="str">
        <f>INDEX(Orçamentária!A:B,MATCH(Composições!A1614,Orçamentária!A:A,0),2)</f>
        <v>Interruptor para condulete</v>
      </c>
      <c r="C1614" s="41"/>
      <c r="D1614" s="26" t="str">
        <f>TRIM(INDEX(Orçamentária!C:C,MATCH(Composições!A1614,Orçamentária!A:A,0),1))</f>
        <v>un</v>
      </c>
      <c r="E1614" s="27"/>
      <c r="F1614" s="42" t="s">
        <v>572</v>
      </c>
      <c r="G1614" s="28" t="str">
        <f t="shared" si="26"/>
        <v/>
      </c>
      <c r="H1614" s="29"/>
      <c r="I1614" s="30"/>
      <c r="J1614" s="156">
        <v>0</v>
      </c>
    </row>
    <row r="1615" spans="1:10" ht="15.75" hidden="1" thickBot="1" x14ac:dyDescent="0.3">
      <c r="A1615" s="222"/>
      <c r="B1615" s="225"/>
      <c r="C1615" s="32"/>
      <c r="D1615" s="32"/>
      <c r="E1615" s="33"/>
      <c r="F1615" s="43" t="s">
        <v>572</v>
      </c>
      <c r="G1615" s="31" t="str">
        <f t="shared" si="26"/>
        <v/>
      </c>
      <c r="H1615" s="35"/>
      <c r="I1615" s="31"/>
      <c r="J1615" s="156">
        <v>0</v>
      </c>
    </row>
    <row r="1616" spans="1:10" ht="15.75" hidden="1" thickBot="1" x14ac:dyDescent="0.3">
      <c r="A1616" s="222"/>
      <c r="B1616" s="225"/>
      <c r="C1616" s="36" t="s">
        <v>30</v>
      </c>
      <c r="D1616" s="36" t="s">
        <v>12</v>
      </c>
      <c r="E1616" s="37">
        <f>0.3/2</f>
        <v>0.15</v>
      </c>
      <c r="F1616" s="31">
        <v>22.268000000000001</v>
      </c>
      <c r="G1616" s="34">
        <f t="shared" si="26"/>
        <v>3.3401999999999998</v>
      </c>
      <c r="H1616" s="39">
        <f>SUM(G1616:G1619)</f>
        <v>5.9451000000000001</v>
      </c>
      <c r="I1616" s="40"/>
      <c r="J1616" s="156">
        <v>0</v>
      </c>
    </row>
    <row r="1617" spans="1:10" ht="15.75" hidden="1" thickBot="1" x14ac:dyDescent="0.3">
      <c r="A1617" s="222"/>
      <c r="B1617" s="225"/>
      <c r="C1617" s="36" t="s">
        <v>74</v>
      </c>
      <c r="D1617" s="36" t="s">
        <v>12</v>
      </c>
      <c r="E1617" s="37">
        <f>0.3/2</f>
        <v>0.15</v>
      </c>
      <c r="F1617" s="31">
        <v>17.366</v>
      </c>
      <c r="G1617" s="34">
        <f t="shared" si="26"/>
        <v>2.6048999999999998</v>
      </c>
      <c r="H1617" s="35"/>
      <c r="I1617" s="31"/>
      <c r="J1617" s="156">
        <v>0</v>
      </c>
    </row>
    <row r="1618" spans="1:10" ht="26.25" hidden="1" thickBot="1" x14ac:dyDescent="0.3">
      <c r="A1618" s="222"/>
      <c r="B1618" s="225"/>
      <c r="C1618" s="36" t="s">
        <v>555</v>
      </c>
      <c r="D1618" s="36" t="s">
        <v>20</v>
      </c>
      <c r="E1618" s="37">
        <v>1</v>
      </c>
      <c r="F1618" s="34" t="s">
        <v>572</v>
      </c>
      <c r="G1618" s="34" t="str">
        <f t="shared" si="26"/>
        <v/>
      </c>
      <c r="H1618" s="35"/>
      <c r="I1618" s="31"/>
      <c r="J1618" s="156">
        <v>0</v>
      </c>
    </row>
    <row r="1619" spans="1:10" ht="26.25" hidden="1" thickBot="1" x14ac:dyDescent="0.3">
      <c r="A1619" s="222"/>
      <c r="B1619" s="225"/>
      <c r="C1619" s="36" t="s">
        <v>556</v>
      </c>
      <c r="D1619" s="36" t="s">
        <v>20</v>
      </c>
      <c r="E1619" s="37">
        <v>1</v>
      </c>
      <c r="F1619" s="34" t="s">
        <v>572</v>
      </c>
      <c r="G1619" s="31" t="str">
        <f t="shared" si="26"/>
        <v/>
      </c>
      <c r="H1619" s="35"/>
      <c r="I1619" s="31"/>
      <c r="J1619" s="156">
        <v>0</v>
      </c>
    </row>
    <row r="1620" spans="1:10" ht="15.75" hidden="1" thickBot="1" x14ac:dyDescent="0.3">
      <c r="A1620" s="223"/>
      <c r="B1620" s="226"/>
      <c r="C1620" s="36"/>
      <c r="D1620" s="36"/>
      <c r="E1620" s="37"/>
      <c r="F1620" s="31" t="s">
        <v>572</v>
      </c>
      <c r="G1620" s="31" t="str">
        <f t="shared" si="26"/>
        <v/>
      </c>
      <c r="H1620" s="35"/>
      <c r="I1620" s="31"/>
      <c r="J1620" s="156">
        <v>0</v>
      </c>
    </row>
    <row r="1621" spans="1:10" ht="15.75" hidden="1" thickBot="1" x14ac:dyDescent="0.3">
      <c r="A1621" s="221" t="s">
        <v>557</v>
      </c>
      <c r="B1621" s="224" t="str">
        <f>INDEX(Orçamentária!A:B,MATCH(Composições!A1621,Orçamentária!A:A,0),2)</f>
        <v>Módulo cego</v>
      </c>
      <c r="C1621" s="41"/>
      <c r="D1621" s="26" t="str">
        <f>TRIM(INDEX(Orçamentária!C:C,MATCH(Composições!A1621,Orçamentária!A:A,0),1))</f>
        <v>un</v>
      </c>
      <c r="E1621" s="27"/>
      <c r="F1621" s="42" t="s">
        <v>572</v>
      </c>
      <c r="G1621" s="28" t="str">
        <f t="shared" ref="G1621:G1684" si="27">IF(ISNUMBER(F1621),E1621*F1621,"")</f>
        <v/>
      </c>
      <c r="H1621" s="29"/>
      <c r="I1621" s="30"/>
      <c r="J1621" s="156">
        <v>0</v>
      </c>
    </row>
    <row r="1622" spans="1:10" ht="15.75" hidden="1" thickBot="1" x14ac:dyDescent="0.3">
      <c r="A1622" s="222"/>
      <c r="B1622" s="225"/>
      <c r="C1622" s="32"/>
      <c r="D1622" s="32"/>
      <c r="E1622" s="33"/>
      <c r="F1622" s="43" t="s">
        <v>572</v>
      </c>
      <c r="G1622" s="31" t="str">
        <f t="shared" si="27"/>
        <v/>
      </c>
      <c r="H1622" s="35"/>
      <c r="I1622" s="31"/>
      <c r="J1622" s="156">
        <v>0</v>
      </c>
    </row>
    <row r="1623" spans="1:10" ht="15.75" hidden="1" thickBot="1" x14ac:dyDescent="0.3">
      <c r="A1623" s="222"/>
      <c r="B1623" s="225"/>
      <c r="C1623" s="36" t="s">
        <v>30</v>
      </c>
      <c r="D1623" s="36" t="s">
        <v>12</v>
      </c>
      <c r="E1623" s="37">
        <v>0.1</v>
      </c>
      <c r="F1623" s="31">
        <v>22.268000000000001</v>
      </c>
      <c r="G1623" s="34">
        <f t="shared" si="27"/>
        <v>2.2268000000000003</v>
      </c>
      <c r="H1623" s="39">
        <f>SUM(G1623:G1624)</f>
        <v>2.2268000000000003</v>
      </c>
      <c r="I1623" s="40"/>
      <c r="J1623" s="156">
        <v>0</v>
      </c>
    </row>
    <row r="1624" spans="1:10" ht="15.75" hidden="1" thickBot="1" x14ac:dyDescent="0.3">
      <c r="A1624" s="222"/>
      <c r="B1624" s="225"/>
      <c r="C1624" s="36" t="s">
        <v>558</v>
      </c>
      <c r="D1624" s="36" t="s">
        <v>20</v>
      </c>
      <c r="E1624" s="37">
        <v>1</v>
      </c>
      <c r="F1624" s="34" t="s">
        <v>572</v>
      </c>
      <c r="G1624" s="31" t="str">
        <f t="shared" si="27"/>
        <v/>
      </c>
      <c r="H1624" s="35"/>
      <c r="I1624" s="31"/>
      <c r="J1624" s="156">
        <v>0</v>
      </c>
    </row>
    <row r="1625" spans="1:10" ht="15.75" hidden="1" thickBot="1" x14ac:dyDescent="0.3">
      <c r="A1625" s="223"/>
      <c r="B1625" s="226"/>
      <c r="C1625" s="36"/>
      <c r="D1625" s="36"/>
      <c r="E1625" s="37"/>
      <c r="F1625" s="31" t="s">
        <v>572</v>
      </c>
      <c r="G1625" s="31" t="str">
        <f t="shared" si="27"/>
        <v/>
      </c>
      <c r="H1625" s="35"/>
      <c r="I1625" s="31"/>
      <c r="J1625" s="156">
        <v>0</v>
      </c>
    </row>
    <row r="1626" spans="1:10" ht="15.75" hidden="1" thickBot="1" x14ac:dyDescent="0.3">
      <c r="A1626" s="221" t="s">
        <v>559</v>
      </c>
      <c r="B1626" s="224" t="str">
        <f>INDEX(Orçamentária!A:B,MATCH(Composições!A1626,Orçamentária!A:A,0),2)</f>
        <v>Módulo interruptor paralelo</v>
      </c>
      <c r="C1626" s="41"/>
      <c r="D1626" s="26" t="str">
        <f>TRIM(INDEX(Orçamentária!C:C,MATCH(Composições!A1626,Orçamentária!A:A,0),1))</f>
        <v>un</v>
      </c>
      <c r="E1626" s="27"/>
      <c r="F1626" s="42" t="s">
        <v>572</v>
      </c>
      <c r="G1626" s="28" t="str">
        <f t="shared" si="27"/>
        <v/>
      </c>
      <c r="H1626" s="29"/>
      <c r="I1626" s="30"/>
      <c r="J1626" s="156">
        <v>0</v>
      </c>
    </row>
    <row r="1627" spans="1:10" ht="15.75" hidden="1" thickBot="1" x14ac:dyDescent="0.3">
      <c r="A1627" s="222"/>
      <c r="B1627" s="225"/>
      <c r="C1627" s="32"/>
      <c r="D1627" s="32"/>
      <c r="E1627" s="33"/>
      <c r="F1627" s="43" t="s">
        <v>572</v>
      </c>
      <c r="G1627" s="31" t="str">
        <f t="shared" si="27"/>
        <v/>
      </c>
      <c r="H1627" s="35"/>
      <c r="I1627" s="31"/>
      <c r="J1627" s="156">
        <v>0</v>
      </c>
    </row>
    <row r="1628" spans="1:10" ht="15.75" hidden="1" thickBot="1" x14ac:dyDescent="0.3">
      <c r="A1628" s="222"/>
      <c r="B1628" s="225"/>
      <c r="C1628" s="36" t="s">
        <v>560</v>
      </c>
      <c r="D1628" s="36" t="s">
        <v>20</v>
      </c>
      <c r="E1628" s="37">
        <v>1</v>
      </c>
      <c r="F1628" s="34">
        <v>7.391</v>
      </c>
      <c r="G1628" s="31">
        <f t="shared" si="27"/>
        <v>7.391</v>
      </c>
      <c r="H1628" s="39">
        <f>SUM(G1628:G1630)</f>
        <v>19.598272000000001</v>
      </c>
      <c r="I1628" s="40"/>
      <c r="J1628" s="156">
        <v>0</v>
      </c>
    </row>
    <row r="1629" spans="1:10" ht="15.75" hidden="1" thickBot="1" x14ac:dyDescent="0.3">
      <c r="A1629" s="222"/>
      <c r="B1629" s="225"/>
      <c r="C1629" s="36" t="s">
        <v>74</v>
      </c>
      <c r="D1629" s="36" t="s">
        <v>12</v>
      </c>
      <c r="E1629" s="37">
        <v>0.308</v>
      </c>
      <c r="F1629" s="31">
        <v>17.366</v>
      </c>
      <c r="G1629" s="34">
        <f t="shared" si="27"/>
        <v>5.3487279999999995</v>
      </c>
      <c r="H1629" s="35"/>
      <c r="I1629" s="31"/>
      <c r="J1629" s="156">
        <v>0</v>
      </c>
    </row>
    <row r="1630" spans="1:10" ht="15.75" hidden="1" thickBot="1" x14ac:dyDescent="0.3">
      <c r="A1630" s="222"/>
      <c r="B1630" s="225"/>
      <c r="C1630" s="36" t="s">
        <v>30</v>
      </c>
      <c r="D1630" s="36" t="s">
        <v>12</v>
      </c>
      <c r="E1630" s="37">
        <v>0.308</v>
      </c>
      <c r="F1630" s="31">
        <v>22.268000000000001</v>
      </c>
      <c r="G1630" s="34">
        <f t="shared" si="27"/>
        <v>6.8585440000000002</v>
      </c>
      <c r="H1630" s="35"/>
      <c r="I1630" s="31"/>
      <c r="J1630" s="156">
        <v>0</v>
      </c>
    </row>
    <row r="1631" spans="1:10" ht="15.75" hidden="1" thickBot="1" x14ac:dyDescent="0.3">
      <c r="A1631" s="223"/>
      <c r="B1631" s="226"/>
      <c r="C1631" s="36"/>
      <c r="D1631" s="36"/>
      <c r="E1631" s="37"/>
      <c r="F1631" s="31" t="s">
        <v>572</v>
      </c>
      <c r="G1631" s="31" t="str">
        <f t="shared" si="27"/>
        <v/>
      </c>
      <c r="H1631" s="35"/>
      <c r="I1631" s="31"/>
      <c r="J1631" s="156">
        <v>0</v>
      </c>
    </row>
    <row r="1632" spans="1:10" ht="15.75" hidden="1" thickBot="1" x14ac:dyDescent="0.3">
      <c r="A1632" s="221" t="s">
        <v>561</v>
      </c>
      <c r="B1632" s="224" t="str">
        <f>INDEX(Orçamentária!A:B,MATCH(Composições!A1632,Orçamentária!A:A,0),2)</f>
        <v>Módulo interruptor simples</v>
      </c>
      <c r="C1632" s="41"/>
      <c r="D1632" s="26" t="str">
        <f>TRIM(INDEX(Orçamentária!C:C,MATCH(Composições!A1632,Orçamentária!A:A,0),1))</f>
        <v>un</v>
      </c>
      <c r="E1632" s="27"/>
      <c r="F1632" s="42" t="s">
        <v>572</v>
      </c>
      <c r="G1632" s="28" t="str">
        <f t="shared" si="27"/>
        <v/>
      </c>
      <c r="H1632" s="29"/>
      <c r="I1632" s="30"/>
      <c r="J1632" s="156">
        <v>0</v>
      </c>
    </row>
    <row r="1633" spans="1:10" ht="15.75" hidden="1" thickBot="1" x14ac:dyDescent="0.3">
      <c r="A1633" s="222"/>
      <c r="B1633" s="225"/>
      <c r="C1633" s="32"/>
      <c r="D1633" s="32"/>
      <c r="E1633" s="33"/>
      <c r="F1633" s="43" t="s">
        <v>572</v>
      </c>
      <c r="G1633" s="31" t="str">
        <f t="shared" si="27"/>
        <v/>
      </c>
      <c r="H1633" s="35"/>
      <c r="I1633" s="31"/>
      <c r="J1633" s="156">
        <v>0</v>
      </c>
    </row>
    <row r="1634" spans="1:10" ht="15.75" hidden="1" thickBot="1" x14ac:dyDescent="0.3">
      <c r="A1634" s="222"/>
      <c r="B1634" s="225"/>
      <c r="C1634" s="36" t="s">
        <v>562</v>
      </c>
      <c r="D1634" s="36" t="s">
        <v>20</v>
      </c>
      <c r="E1634" s="37">
        <v>1</v>
      </c>
      <c r="F1634" s="34">
        <v>5.6714999999999991</v>
      </c>
      <c r="G1634" s="31">
        <f t="shared" si="27"/>
        <v>5.6714999999999991</v>
      </c>
      <c r="H1634" s="39">
        <f>SUM(G1634:G1636)</f>
        <v>14.58915</v>
      </c>
      <c r="I1634" s="40"/>
      <c r="J1634" s="156">
        <v>0</v>
      </c>
    </row>
    <row r="1635" spans="1:10" ht="15.75" hidden="1" thickBot="1" x14ac:dyDescent="0.3">
      <c r="A1635" s="222"/>
      <c r="B1635" s="225"/>
      <c r="C1635" s="36" t="s">
        <v>74</v>
      </c>
      <c r="D1635" s="36" t="s">
        <v>12</v>
      </c>
      <c r="E1635" s="37">
        <v>0.22500000000000001</v>
      </c>
      <c r="F1635" s="31">
        <v>17.366</v>
      </c>
      <c r="G1635" s="34">
        <f t="shared" si="27"/>
        <v>3.9073500000000001</v>
      </c>
      <c r="H1635" s="35"/>
      <c r="I1635" s="31"/>
      <c r="J1635" s="156">
        <v>0</v>
      </c>
    </row>
    <row r="1636" spans="1:10" ht="15.75" hidden="1" thickBot="1" x14ac:dyDescent="0.3">
      <c r="A1636" s="222"/>
      <c r="B1636" s="225"/>
      <c r="C1636" s="36" t="s">
        <v>30</v>
      </c>
      <c r="D1636" s="36" t="s">
        <v>12</v>
      </c>
      <c r="E1636" s="37">
        <v>0.22500000000000001</v>
      </c>
      <c r="F1636" s="31">
        <v>22.268000000000001</v>
      </c>
      <c r="G1636" s="34">
        <f t="shared" si="27"/>
        <v>5.0103</v>
      </c>
      <c r="H1636" s="35"/>
      <c r="I1636" s="31"/>
      <c r="J1636" s="156">
        <v>0</v>
      </c>
    </row>
    <row r="1637" spans="1:10" ht="15.75" hidden="1" thickBot="1" x14ac:dyDescent="0.3">
      <c r="A1637" s="223"/>
      <c r="B1637" s="226"/>
      <c r="C1637" s="36"/>
      <c r="D1637" s="36"/>
      <c r="E1637" s="37"/>
      <c r="F1637" s="31" t="s">
        <v>572</v>
      </c>
      <c r="G1637" s="31" t="str">
        <f t="shared" si="27"/>
        <v/>
      </c>
      <c r="H1637" s="35"/>
      <c r="I1637" s="31"/>
      <c r="J1637" s="156">
        <v>0</v>
      </c>
    </row>
    <row r="1638" spans="1:10" ht="15.75" hidden="1" thickBot="1" x14ac:dyDescent="0.3">
      <c r="A1638" s="221" t="s">
        <v>563</v>
      </c>
      <c r="B1638" s="224" t="str">
        <f>INDEX(Orçamentária!A:B,MATCH(Composições!A1638,Orçamentária!A:A,0),2)</f>
        <v>Módulo para saída de fio</v>
      </c>
      <c r="C1638" s="41"/>
      <c r="D1638" s="26" t="str">
        <f>TRIM(INDEX(Orçamentária!C:C,MATCH(Composições!A1638,Orçamentária!A:A,0),1))</f>
        <v>un</v>
      </c>
      <c r="E1638" s="27"/>
      <c r="F1638" s="42" t="s">
        <v>572</v>
      </c>
      <c r="G1638" s="28" t="str">
        <f t="shared" si="27"/>
        <v/>
      </c>
      <c r="H1638" s="29"/>
      <c r="I1638" s="30"/>
      <c r="J1638" s="156">
        <v>0</v>
      </c>
    </row>
    <row r="1639" spans="1:10" ht="15.75" hidden="1" thickBot="1" x14ac:dyDescent="0.3">
      <c r="A1639" s="222"/>
      <c r="B1639" s="225"/>
      <c r="C1639" s="32"/>
      <c r="D1639" s="32"/>
      <c r="E1639" s="33"/>
      <c r="F1639" s="43" t="s">
        <v>572</v>
      </c>
      <c r="G1639" s="31" t="str">
        <f t="shared" si="27"/>
        <v/>
      </c>
      <c r="H1639" s="35"/>
      <c r="I1639" s="31"/>
      <c r="J1639" s="156">
        <v>0</v>
      </c>
    </row>
    <row r="1640" spans="1:10" ht="15.75" hidden="1" thickBot="1" x14ac:dyDescent="0.3">
      <c r="A1640" s="222"/>
      <c r="B1640" s="225"/>
      <c r="C1640" s="36" t="s">
        <v>30</v>
      </c>
      <c r="D1640" s="36" t="s">
        <v>12</v>
      </c>
      <c r="E1640" s="37">
        <v>0.1</v>
      </c>
      <c r="F1640" s="31">
        <v>22.268000000000001</v>
      </c>
      <c r="G1640" s="34">
        <f t="shared" si="27"/>
        <v>2.2268000000000003</v>
      </c>
      <c r="H1640" s="39">
        <f>SUM(G1640:G1641)</f>
        <v>2.2268000000000003</v>
      </c>
      <c r="I1640" s="40"/>
      <c r="J1640" s="156">
        <v>0</v>
      </c>
    </row>
    <row r="1641" spans="1:10" ht="15.75" hidden="1" thickBot="1" x14ac:dyDescent="0.3">
      <c r="A1641" s="222"/>
      <c r="B1641" s="225"/>
      <c r="C1641" s="36" t="s">
        <v>564</v>
      </c>
      <c r="D1641" s="36" t="s">
        <v>20</v>
      </c>
      <c r="E1641" s="37">
        <v>1</v>
      </c>
      <c r="F1641" s="34" t="s">
        <v>572</v>
      </c>
      <c r="G1641" s="31" t="str">
        <f t="shared" si="27"/>
        <v/>
      </c>
      <c r="H1641" s="35"/>
      <c r="I1641" s="31"/>
      <c r="J1641" s="156">
        <v>0</v>
      </c>
    </row>
    <row r="1642" spans="1:10" ht="15.75" hidden="1" thickBot="1" x14ac:dyDescent="0.3">
      <c r="A1642" s="223"/>
      <c r="B1642" s="226"/>
      <c r="C1642" s="36"/>
      <c r="D1642" s="36"/>
      <c r="E1642" s="37"/>
      <c r="F1642" s="31" t="s">
        <v>572</v>
      </c>
      <c r="G1642" s="31" t="str">
        <f t="shared" si="27"/>
        <v/>
      </c>
      <c r="H1642" s="35"/>
      <c r="I1642" s="31"/>
      <c r="J1642" s="156">
        <v>0</v>
      </c>
    </row>
    <row r="1643" spans="1:10" ht="15.75" hidden="1" thickBot="1" x14ac:dyDescent="0.3">
      <c r="A1643" s="221" t="s">
        <v>565</v>
      </c>
      <c r="B1643" s="224" t="str">
        <f>INDEX(Orçamentária!A:B,MATCH(Composições!A1643,Orçamentária!A:A,0),2)</f>
        <v>Módulo sensor de presença</v>
      </c>
      <c r="C1643" s="41"/>
      <c r="D1643" s="26" t="str">
        <f>TRIM(INDEX(Orçamentária!C:C,MATCH(Composições!A1643,Orçamentária!A:A,0),1))</f>
        <v>un</v>
      </c>
      <c r="E1643" s="27"/>
      <c r="F1643" s="42" t="s">
        <v>572</v>
      </c>
      <c r="G1643" s="28" t="str">
        <f t="shared" si="27"/>
        <v/>
      </c>
      <c r="H1643" s="29"/>
      <c r="I1643" s="30"/>
      <c r="J1643" s="156">
        <v>0</v>
      </c>
    </row>
    <row r="1644" spans="1:10" ht="15.75" hidden="1" thickBot="1" x14ac:dyDescent="0.3">
      <c r="A1644" s="222"/>
      <c r="B1644" s="225"/>
      <c r="C1644" s="32"/>
      <c r="D1644" s="32"/>
      <c r="E1644" s="33"/>
      <c r="F1644" s="43" t="s">
        <v>572</v>
      </c>
      <c r="G1644" s="31" t="str">
        <f t="shared" si="27"/>
        <v/>
      </c>
      <c r="H1644" s="35"/>
      <c r="I1644" s="31"/>
      <c r="J1644" s="156">
        <v>0</v>
      </c>
    </row>
    <row r="1645" spans="1:10" ht="15.75" hidden="1" thickBot="1" x14ac:dyDescent="0.3">
      <c r="A1645" s="222"/>
      <c r="B1645" s="225"/>
      <c r="C1645" s="36" t="s">
        <v>30</v>
      </c>
      <c r="D1645" s="36" t="s">
        <v>12</v>
      </c>
      <c r="E1645" s="37">
        <v>0.308</v>
      </c>
      <c r="F1645" s="31">
        <v>22.268000000000001</v>
      </c>
      <c r="G1645" s="34">
        <f t="shared" si="27"/>
        <v>6.8585440000000002</v>
      </c>
      <c r="H1645" s="39">
        <f>SUM(G1645:G1647)</f>
        <v>12.207272</v>
      </c>
      <c r="I1645" s="40"/>
      <c r="J1645" s="156">
        <v>0</v>
      </c>
    </row>
    <row r="1646" spans="1:10" ht="15.75" hidden="1" thickBot="1" x14ac:dyDescent="0.3">
      <c r="A1646" s="222"/>
      <c r="B1646" s="225"/>
      <c r="C1646" s="36" t="s">
        <v>74</v>
      </c>
      <c r="D1646" s="36" t="s">
        <v>12</v>
      </c>
      <c r="E1646" s="37">
        <v>0.308</v>
      </c>
      <c r="F1646" s="31">
        <v>17.366</v>
      </c>
      <c r="G1646" s="34">
        <f t="shared" si="27"/>
        <v>5.3487279999999995</v>
      </c>
      <c r="H1646" s="45"/>
      <c r="I1646" s="46"/>
      <c r="J1646" s="156">
        <v>0</v>
      </c>
    </row>
    <row r="1647" spans="1:10" ht="15.75" hidden="1" thickBot="1" x14ac:dyDescent="0.3">
      <c r="A1647" s="222"/>
      <c r="B1647" s="225"/>
      <c r="C1647" s="36" t="s">
        <v>566</v>
      </c>
      <c r="D1647" s="36" t="s">
        <v>20</v>
      </c>
      <c r="E1647" s="37">
        <v>1</v>
      </c>
      <c r="F1647" s="34" t="s">
        <v>572</v>
      </c>
      <c r="G1647" s="31" t="str">
        <f t="shared" si="27"/>
        <v/>
      </c>
      <c r="H1647" s="35"/>
      <c r="I1647" s="31"/>
      <c r="J1647" s="156">
        <v>0</v>
      </c>
    </row>
    <row r="1648" spans="1:10" ht="15.75" hidden="1" thickBot="1" x14ac:dyDescent="0.3">
      <c r="A1648" s="223"/>
      <c r="B1648" s="226"/>
      <c r="C1648" s="52"/>
      <c r="D1648" s="36"/>
      <c r="E1648" s="37"/>
      <c r="F1648" s="31" t="s">
        <v>572</v>
      </c>
      <c r="G1648" s="31" t="str">
        <f t="shared" si="27"/>
        <v/>
      </c>
      <c r="H1648" s="35"/>
      <c r="I1648" s="31"/>
      <c r="J1648" s="156">
        <v>0</v>
      </c>
    </row>
    <row r="1649" spans="1:10" ht="15.75" hidden="1" thickBot="1" x14ac:dyDescent="0.3">
      <c r="A1649" s="221" t="s">
        <v>567</v>
      </c>
      <c r="B1649" s="224" t="str">
        <f>INDEX(Orçamentária!A:B,MATCH(Composições!A1649,Orçamentária!A:A,0),2)</f>
        <v>Módulo tomada 10 A</v>
      </c>
      <c r="C1649" s="41"/>
      <c r="D1649" s="26" t="str">
        <f>TRIM(INDEX(Orçamentária!C:C,MATCH(Composições!A1649,Orçamentária!A:A,0),1))</f>
        <v>un</v>
      </c>
      <c r="E1649" s="27"/>
      <c r="F1649" s="42" t="s">
        <v>572</v>
      </c>
      <c r="G1649" s="28" t="str">
        <f t="shared" si="27"/>
        <v/>
      </c>
      <c r="H1649" s="29"/>
      <c r="I1649" s="30"/>
      <c r="J1649" s="156">
        <v>0</v>
      </c>
    </row>
    <row r="1650" spans="1:10" ht="15.75" hidden="1" thickBot="1" x14ac:dyDescent="0.3">
      <c r="A1650" s="222"/>
      <c r="B1650" s="225"/>
      <c r="C1650" s="32"/>
      <c r="D1650" s="32"/>
      <c r="E1650" s="33"/>
      <c r="F1650" s="43" t="s">
        <v>572</v>
      </c>
      <c r="G1650" s="31" t="str">
        <f t="shared" si="27"/>
        <v/>
      </c>
      <c r="H1650" s="35"/>
      <c r="I1650" s="31"/>
      <c r="J1650" s="156">
        <v>0</v>
      </c>
    </row>
    <row r="1651" spans="1:10" ht="15.75" hidden="1" thickBot="1" x14ac:dyDescent="0.3">
      <c r="A1651" s="222"/>
      <c r="B1651" s="225"/>
      <c r="C1651" s="36" t="s">
        <v>568</v>
      </c>
      <c r="D1651" s="36" t="s">
        <v>20</v>
      </c>
      <c r="E1651" s="37">
        <v>1</v>
      </c>
      <c r="F1651" s="34">
        <v>6.46</v>
      </c>
      <c r="G1651" s="31">
        <f t="shared" si="27"/>
        <v>6.46</v>
      </c>
      <c r="H1651" s="39">
        <f>SUM(G1651:G1653)</f>
        <v>15.77399</v>
      </c>
      <c r="I1651" s="40"/>
      <c r="J1651" s="156">
        <v>0</v>
      </c>
    </row>
    <row r="1652" spans="1:10" ht="15.75" hidden="1" thickBot="1" x14ac:dyDescent="0.3">
      <c r="A1652" s="222"/>
      <c r="B1652" s="225"/>
      <c r="C1652" s="36" t="s">
        <v>74</v>
      </c>
      <c r="D1652" s="36" t="s">
        <v>12</v>
      </c>
      <c r="E1652" s="37">
        <v>0.23499999999999999</v>
      </c>
      <c r="F1652" s="31">
        <v>17.366</v>
      </c>
      <c r="G1652" s="34">
        <f t="shared" si="27"/>
        <v>4.08101</v>
      </c>
      <c r="H1652" s="35"/>
      <c r="I1652" s="31"/>
      <c r="J1652" s="156">
        <v>0</v>
      </c>
    </row>
    <row r="1653" spans="1:10" ht="15.75" hidden="1" thickBot="1" x14ac:dyDescent="0.3">
      <c r="A1653" s="222"/>
      <c r="B1653" s="225"/>
      <c r="C1653" s="36" t="s">
        <v>30</v>
      </c>
      <c r="D1653" s="36" t="s">
        <v>12</v>
      </c>
      <c r="E1653" s="37">
        <v>0.23499999999999999</v>
      </c>
      <c r="F1653" s="31">
        <v>22.268000000000001</v>
      </c>
      <c r="G1653" s="34">
        <f t="shared" si="27"/>
        <v>5.2329799999999995</v>
      </c>
      <c r="H1653" s="35"/>
      <c r="I1653" s="31"/>
      <c r="J1653" s="156">
        <v>0</v>
      </c>
    </row>
    <row r="1654" spans="1:10" ht="15.75" hidden="1" thickBot="1" x14ac:dyDescent="0.3">
      <c r="A1654" s="223"/>
      <c r="B1654" s="226"/>
      <c r="C1654" s="36"/>
      <c r="D1654" s="36"/>
      <c r="E1654" s="37"/>
      <c r="F1654" s="31" t="s">
        <v>572</v>
      </c>
      <c r="G1654" s="31" t="str">
        <f t="shared" si="27"/>
        <v/>
      </c>
      <c r="H1654" s="35"/>
      <c r="I1654" s="31"/>
      <c r="J1654" s="156">
        <v>0</v>
      </c>
    </row>
    <row r="1655" spans="1:10" ht="15.75" hidden="1" thickBot="1" x14ac:dyDescent="0.3">
      <c r="A1655" s="221" t="s">
        <v>569</v>
      </c>
      <c r="B1655" s="224" t="str">
        <f>INDEX(Orçamentária!A:B,MATCH(Composições!A1655,Orçamentária!A:A,0),2)</f>
        <v>Módulo tomada 20 A</v>
      </c>
      <c r="C1655" s="41"/>
      <c r="D1655" s="26" t="str">
        <f>TRIM(INDEX(Orçamentária!C:C,MATCH(Composições!A1655,Orçamentária!A:A,0),1))</f>
        <v>un</v>
      </c>
      <c r="E1655" s="27"/>
      <c r="F1655" s="42" t="s">
        <v>572</v>
      </c>
      <c r="G1655" s="28" t="str">
        <f t="shared" si="27"/>
        <v/>
      </c>
      <c r="H1655" s="29"/>
      <c r="I1655" s="30"/>
      <c r="J1655" s="156">
        <v>0</v>
      </c>
    </row>
    <row r="1656" spans="1:10" ht="15.75" hidden="1" thickBot="1" x14ac:dyDescent="0.3">
      <c r="A1656" s="222"/>
      <c r="B1656" s="225"/>
      <c r="C1656" s="32"/>
      <c r="D1656" s="32"/>
      <c r="E1656" s="33"/>
      <c r="F1656" s="43" t="s">
        <v>572</v>
      </c>
      <c r="G1656" s="31" t="str">
        <f t="shared" si="27"/>
        <v/>
      </c>
      <c r="H1656" s="35"/>
      <c r="I1656" s="31"/>
      <c r="J1656" s="156">
        <v>0</v>
      </c>
    </row>
    <row r="1657" spans="1:10" ht="15.75" hidden="1" thickBot="1" x14ac:dyDescent="0.3">
      <c r="A1657" s="222"/>
      <c r="B1657" s="225"/>
      <c r="C1657" s="36" t="s">
        <v>570</v>
      </c>
      <c r="D1657" s="36" t="s">
        <v>20</v>
      </c>
      <c r="E1657" s="37">
        <v>1</v>
      </c>
      <c r="F1657" s="34">
        <v>8.2649999999999988</v>
      </c>
      <c r="G1657" s="31">
        <f t="shared" si="27"/>
        <v>8.2649999999999988</v>
      </c>
      <c r="H1657" s="39">
        <f>SUM(G1657:G1659)</f>
        <v>17.578989999999997</v>
      </c>
      <c r="I1657" s="40"/>
      <c r="J1657" s="156">
        <v>0</v>
      </c>
    </row>
    <row r="1658" spans="1:10" ht="15.75" hidden="1" thickBot="1" x14ac:dyDescent="0.3">
      <c r="A1658" s="222"/>
      <c r="B1658" s="225"/>
      <c r="C1658" s="36" t="s">
        <v>74</v>
      </c>
      <c r="D1658" s="36" t="s">
        <v>12</v>
      </c>
      <c r="E1658" s="37">
        <v>0.23499999999999999</v>
      </c>
      <c r="F1658" s="31">
        <v>17.366</v>
      </c>
      <c r="G1658" s="34">
        <f t="shared" si="27"/>
        <v>4.08101</v>
      </c>
      <c r="H1658" s="35"/>
      <c r="I1658" s="31"/>
      <c r="J1658" s="156">
        <v>0</v>
      </c>
    </row>
    <row r="1659" spans="1:10" ht="15.75" hidden="1" thickBot="1" x14ac:dyDescent="0.3">
      <c r="A1659" s="222"/>
      <c r="B1659" s="225"/>
      <c r="C1659" s="36" t="s">
        <v>30</v>
      </c>
      <c r="D1659" s="36" t="s">
        <v>12</v>
      </c>
      <c r="E1659" s="37">
        <v>0.23499999999999999</v>
      </c>
      <c r="F1659" s="31">
        <v>22.268000000000001</v>
      </c>
      <c r="G1659" s="34">
        <f t="shared" si="27"/>
        <v>5.2329799999999995</v>
      </c>
      <c r="H1659" s="35"/>
      <c r="I1659" s="31"/>
      <c r="J1659" s="156">
        <v>0</v>
      </c>
    </row>
    <row r="1660" spans="1:10" ht="15.75" hidden="1" thickBot="1" x14ac:dyDescent="0.3">
      <c r="A1660" s="223"/>
      <c r="B1660" s="226"/>
      <c r="C1660" s="36"/>
      <c r="D1660" s="36"/>
      <c r="E1660" s="37"/>
      <c r="F1660" s="31" t="s">
        <v>572</v>
      </c>
      <c r="G1660" s="31" t="str">
        <f t="shared" si="27"/>
        <v/>
      </c>
      <c r="H1660" s="35"/>
      <c r="I1660" s="31"/>
      <c r="J1660" s="156">
        <v>0</v>
      </c>
    </row>
    <row r="1661" spans="1:10" ht="15.75" hidden="1" thickBot="1" x14ac:dyDescent="0.3">
      <c r="A1661" s="221" t="s">
        <v>571</v>
      </c>
      <c r="B1661" s="224" t="str">
        <f>INDEX(Orçamentária!A:B,MATCH(Composições!A1661,Orçamentária!A:A,0),2)</f>
        <v>Porta equipamentos para canaleta de alumínio aparente</v>
      </c>
      <c r="C1661" s="41"/>
      <c r="D1661" s="26" t="str">
        <f>TRIM(INDEX(Orçamentária!C:C,MATCH(Composições!A1661,Orçamentária!A:A,0),1))</f>
        <v>un</v>
      </c>
      <c r="E1661" s="27"/>
      <c r="F1661" s="42" t="s">
        <v>572</v>
      </c>
      <c r="G1661" s="28" t="str">
        <f t="shared" si="27"/>
        <v/>
      </c>
      <c r="H1661" s="29"/>
      <c r="I1661" s="30"/>
      <c r="J1661" s="156">
        <v>0</v>
      </c>
    </row>
    <row r="1662" spans="1:10" ht="15.75" hidden="1" thickBot="1" x14ac:dyDescent="0.3">
      <c r="A1662" s="222"/>
      <c r="B1662" s="225"/>
      <c r="C1662" s="32"/>
      <c r="D1662" s="32"/>
      <c r="E1662" s="33"/>
      <c r="F1662" s="43" t="s">
        <v>572</v>
      </c>
      <c r="G1662" s="31" t="str">
        <f t="shared" si="27"/>
        <v/>
      </c>
      <c r="H1662" s="35"/>
      <c r="I1662" s="31"/>
      <c r="J1662" s="156">
        <v>0</v>
      </c>
    </row>
    <row r="1663" spans="1:10" ht="15.75" hidden="1" thickBot="1" x14ac:dyDescent="0.3">
      <c r="A1663" s="222"/>
      <c r="B1663" s="225"/>
      <c r="C1663" s="36" t="s">
        <v>74</v>
      </c>
      <c r="D1663" s="36" t="s">
        <v>12</v>
      </c>
      <c r="E1663" s="37">
        <f>0.35/2</f>
        <v>0.17499999999999999</v>
      </c>
      <c r="F1663" s="31">
        <v>17.366</v>
      </c>
      <c r="G1663" s="34">
        <f t="shared" si="27"/>
        <v>3.0390499999999996</v>
      </c>
      <c r="H1663" s="39">
        <f>SUM(G1663:G1665)</f>
        <v>6.9359500000000001</v>
      </c>
      <c r="I1663" s="40"/>
      <c r="J1663" s="156">
        <v>0</v>
      </c>
    </row>
    <row r="1664" spans="1:10" ht="15.75" hidden="1" thickBot="1" x14ac:dyDescent="0.3">
      <c r="A1664" s="222"/>
      <c r="B1664" s="225"/>
      <c r="C1664" s="36" t="s">
        <v>30</v>
      </c>
      <c r="D1664" s="36" t="s">
        <v>12</v>
      </c>
      <c r="E1664" s="37">
        <f>0.35/2</f>
        <v>0.17499999999999999</v>
      </c>
      <c r="F1664" s="31">
        <v>22.268000000000001</v>
      </c>
      <c r="G1664" s="34">
        <f t="shared" si="27"/>
        <v>3.8969</v>
      </c>
      <c r="H1664" s="63" t="s">
        <v>572</v>
      </c>
      <c r="I1664" s="64"/>
      <c r="J1664" s="156">
        <v>0</v>
      </c>
    </row>
    <row r="1665" spans="1:10" ht="15.75" hidden="1" thickBot="1" x14ac:dyDescent="0.3">
      <c r="A1665" s="222"/>
      <c r="B1665" s="225"/>
      <c r="C1665" s="36" t="s">
        <v>573</v>
      </c>
      <c r="D1665" s="36" t="s">
        <v>20</v>
      </c>
      <c r="E1665" s="37">
        <v>1</v>
      </c>
      <c r="F1665" s="34" t="s">
        <v>572</v>
      </c>
      <c r="G1665" s="34" t="str">
        <f t="shared" si="27"/>
        <v/>
      </c>
      <c r="H1665" s="35"/>
      <c r="I1665" s="31"/>
      <c r="J1665" s="156">
        <v>0</v>
      </c>
    </row>
    <row r="1666" spans="1:10" ht="15.75" hidden="1" thickBot="1" x14ac:dyDescent="0.3">
      <c r="A1666" s="223"/>
      <c r="B1666" s="226"/>
      <c r="C1666" s="36"/>
      <c r="D1666" s="36"/>
      <c r="E1666" s="37"/>
      <c r="F1666" s="31" t="s">
        <v>572</v>
      </c>
      <c r="G1666" s="31" t="str">
        <f t="shared" si="27"/>
        <v/>
      </c>
      <c r="H1666" s="35"/>
      <c r="I1666" s="31"/>
      <c r="J1666" s="156">
        <v>0</v>
      </c>
    </row>
    <row r="1667" spans="1:10" ht="15.75" hidden="1" thickBot="1" x14ac:dyDescent="0.3">
      <c r="A1667" s="221" t="s">
        <v>574</v>
      </c>
      <c r="B1667" s="224" t="str">
        <f>INDEX(Orçamentária!A:B,MATCH(Composições!A1667,Orçamentária!A:A,0),2)</f>
        <v>Tampa cega metálica para caixas de piso 4x2</v>
      </c>
      <c r="C1667" s="41"/>
      <c r="D1667" s="26" t="str">
        <f>TRIM(INDEX(Orçamentária!C:C,MATCH(Composições!A1667,Orçamentária!A:A,0),1))</f>
        <v>un</v>
      </c>
      <c r="E1667" s="27"/>
      <c r="F1667" s="42" t="s">
        <v>572</v>
      </c>
      <c r="G1667" s="28" t="str">
        <f t="shared" si="27"/>
        <v/>
      </c>
      <c r="H1667" s="29"/>
      <c r="I1667" s="30"/>
      <c r="J1667" s="156">
        <v>0</v>
      </c>
    </row>
    <row r="1668" spans="1:10" ht="15.75" hidden="1" thickBot="1" x14ac:dyDescent="0.3">
      <c r="A1668" s="222"/>
      <c r="B1668" s="225"/>
      <c r="C1668" s="32"/>
      <c r="D1668" s="32"/>
      <c r="E1668" s="33"/>
      <c r="F1668" s="43" t="s">
        <v>572</v>
      </c>
      <c r="G1668" s="31" t="str">
        <f t="shared" si="27"/>
        <v/>
      </c>
      <c r="H1668" s="35"/>
      <c r="I1668" s="31"/>
      <c r="J1668" s="156">
        <v>0</v>
      </c>
    </row>
    <row r="1669" spans="1:10" ht="15.75" hidden="1" thickBot="1" x14ac:dyDescent="0.3">
      <c r="A1669" s="222"/>
      <c r="B1669" s="225"/>
      <c r="C1669" s="36" t="s">
        <v>74</v>
      </c>
      <c r="D1669" s="36" t="s">
        <v>12</v>
      </c>
      <c r="E1669" s="37">
        <v>0.1</v>
      </c>
      <c r="F1669" s="31">
        <v>17.366</v>
      </c>
      <c r="G1669" s="31">
        <f t="shared" si="27"/>
        <v>1.7366000000000001</v>
      </c>
      <c r="H1669" s="39">
        <f>SUM(G1669:G1670)</f>
        <v>1.7366000000000001</v>
      </c>
      <c r="I1669" s="40"/>
      <c r="J1669" s="156">
        <v>0</v>
      </c>
    </row>
    <row r="1670" spans="1:10" ht="15.75" hidden="1" thickBot="1" x14ac:dyDescent="0.3">
      <c r="A1670" s="222"/>
      <c r="B1670" s="225"/>
      <c r="C1670" s="36" t="s">
        <v>575</v>
      </c>
      <c r="D1670" s="36" t="s">
        <v>20</v>
      </c>
      <c r="E1670" s="37">
        <v>1</v>
      </c>
      <c r="F1670" s="34" t="s">
        <v>572</v>
      </c>
      <c r="G1670" s="31" t="str">
        <f t="shared" si="27"/>
        <v/>
      </c>
      <c r="H1670" s="35"/>
      <c r="I1670" s="31"/>
      <c r="J1670" s="156">
        <v>0</v>
      </c>
    </row>
    <row r="1671" spans="1:10" ht="15.75" hidden="1" thickBot="1" x14ac:dyDescent="0.3">
      <c r="A1671" s="223"/>
      <c r="B1671" s="226"/>
      <c r="C1671" s="36"/>
      <c r="D1671" s="36"/>
      <c r="E1671" s="37"/>
      <c r="F1671" s="31" t="s">
        <v>572</v>
      </c>
      <c r="G1671" s="31" t="str">
        <f t="shared" si="27"/>
        <v/>
      </c>
      <c r="H1671" s="35"/>
      <c r="I1671" s="31"/>
      <c r="J1671" s="156">
        <v>0</v>
      </c>
    </row>
    <row r="1672" spans="1:10" ht="15.75" hidden="1" thickBot="1" x14ac:dyDescent="0.3">
      <c r="A1672" s="221" t="s">
        <v>576</v>
      </c>
      <c r="B1672" s="224" t="str">
        <f>INDEX(Orçamentária!A:B,MATCH(Composições!A1672,Orçamentária!A:A,0),2)</f>
        <v>Tampa cega metálica para caixas de piso 4x4</v>
      </c>
      <c r="C1672" s="41"/>
      <c r="D1672" s="26" t="str">
        <f>TRIM(INDEX(Orçamentária!C:C,MATCH(Composições!A1672,Orçamentária!A:A,0),1))</f>
        <v>un</v>
      </c>
      <c r="E1672" s="27"/>
      <c r="F1672" s="42" t="s">
        <v>572</v>
      </c>
      <c r="G1672" s="28" t="str">
        <f t="shared" si="27"/>
        <v/>
      </c>
      <c r="H1672" s="29"/>
      <c r="I1672" s="30"/>
      <c r="J1672" s="156">
        <v>0</v>
      </c>
    </row>
    <row r="1673" spans="1:10" ht="15.75" hidden="1" thickBot="1" x14ac:dyDescent="0.3">
      <c r="A1673" s="222"/>
      <c r="B1673" s="225"/>
      <c r="C1673" s="32"/>
      <c r="D1673" s="32"/>
      <c r="E1673" s="33"/>
      <c r="F1673" s="43" t="s">
        <v>572</v>
      </c>
      <c r="G1673" s="31" t="str">
        <f t="shared" si="27"/>
        <v/>
      </c>
      <c r="H1673" s="35"/>
      <c r="I1673" s="31"/>
      <c r="J1673" s="156">
        <v>0</v>
      </c>
    </row>
    <row r="1674" spans="1:10" ht="15.75" hidden="1" thickBot="1" x14ac:dyDescent="0.3">
      <c r="A1674" s="222"/>
      <c r="B1674" s="225"/>
      <c r="C1674" s="36" t="s">
        <v>74</v>
      </c>
      <c r="D1674" s="36" t="s">
        <v>12</v>
      </c>
      <c r="E1674" s="37">
        <v>0.1</v>
      </c>
      <c r="F1674" s="31">
        <v>17.366</v>
      </c>
      <c r="G1674" s="31">
        <f t="shared" si="27"/>
        <v>1.7366000000000001</v>
      </c>
      <c r="H1674" s="39">
        <f>SUM(G1674:G1675)</f>
        <v>1.7366000000000001</v>
      </c>
      <c r="I1674" s="40"/>
      <c r="J1674" s="156">
        <v>0</v>
      </c>
    </row>
    <row r="1675" spans="1:10" ht="15.75" hidden="1" thickBot="1" x14ac:dyDescent="0.3">
      <c r="A1675" s="222"/>
      <c r="B1675" s="225"/>
      <c r="C1675" s="36" t="s">
        <v>577</v>
      </c>
      <c r="D1675" s="36" t="s">
        <v>20</v>
      </c>
      <c r="E1675" s="37">
        <v>1</v>
      </c>
      <c r="F1675" s="34" t="s">
        <v>572</v>
      </c>
      <c r="G1675" s="31" t="str">
        <f t="shared" si="27"/>
        <v/>
      </c>
      <c r="H1675" s="35"/>
      <c r="I1675" s="31"/>
      <c r="J1675" s="156">
        <v>0</v>
      </c>
    </row>
    <row r="1676" spans="1:10" ht="15.75" hidden="1" thickBot="1" x14ac:dyDescent="0.3">
      <c r="A1676" s="223"/>
      <c r="B1676" s="226"/>
      <c r="C1676" s="36"/>
      <c r="D1676" s="36"/>
      <c r="E1676" s="37"/>
      <c r="F1676" s="31" t="s">
        <v>572</v>
      </c>
      <c r="G1676" s="31" t="str">
        <f t="shared" si="27"/>
        <v/>
      </c>
      <c r="H1676" s="35"/>
      <c r="I1676" s="31"/>
      <c r="J1676" s="156">
        <v>0</v>
      </c>
    </row>
    <row r="1677" spans="1:10" ht="15.75" hidden="1" thickBot="1" x14ac:dyDescent="0.3">
      <c r="A1677" s="221" t="s">
        <v>578</v>
      </c>
      <c r="B1677" s="224" t="str">
        <f>INDEX(Orçamentária!A:B,MATCH(Composições!A1677,Orçamentária!A:A,0),2)</f>
        <v>Tampa cega para condulete</v>
      </c>
      <c r="C1677" s="41"/>
      <c r="D1677" s="26" t="str">
        <f>TRIM(INDEX(Orçamentária!C:C,MATCH(Composições!A1677,Orçamentária!A:A,0),1))</f>
        <v>un</v>
      </c>
      <c r="E1677" s="27"/>
      <c r="F1677" s="42" t="s">
        <v>572</v>
      </c>
      <c r="G1677" s="28" t="str">
        <f t="shared" si="27"/>
        <v/>
      </c>
      <c r="H1677" s="29"/>
      <c r="I1677" s="30"/>
      <c r="J1677" s="156">
        <v>0</v>
      </c>
    </row>
    <row r="1678" spans="1:10" ht="15.75" hidden="1" thickBot="1" x14ac:dyDescent="0.3">
      <c r="A1678" s="222"/>
      <c r="B1678" s="225"/>
      <c r="C1678" s="32"/>
      <c r="D1678" s="32"/>
      <c r="E1678" s="33"/>
      <c r="F1678" s="43" t="s">
        <v>572</v>
      </c>
      <c r="G1678" s="31" t="str">
        <f t="shared" si="27"/>
        <v/>
      </c>
      <c r="H1678" s="35"/>
      <c r="I1678" s="31"/>
      <c r="J1678" s="156">
        <v>0</v>
      </c>
    </row>
    <row r="1679" spans="1:10" ht="15.75" hidden="1" thickBot="1" x14ac:dyDescent="0.3">
      <c r="A1679" s="222"/>
      <c r="B1679" s="225"/>
      <c r="C1679" s="36" t="s">
        <v>74</v>
      </c>
      <c r="D1679" s="36" t="s">
        <v>12</v>
      </c>
      <c r="E1679" s="37">
        <v>0.15</v>
      </c>
      <c r="F1679" s="31">
        <v>17.366</v>
      </c>
      <c r="G1679" s="34">
        <f t="shared" si="27"/>
        <v>2.6048999999999998</v>
      </c>
      <c r="H1679" s="39">
        <f>SUM(G1679:G1680)</f>
        <v>2.6048999999999998</v>
      </c>
      <c r="I1679" s="40"/>
      <c r="J1679" s="156">
        <v>0</v>
      </c>
    </row>
    <row r="1680" spans="1:10" ht="26.25" hidden="1" thickBot="1" x14ac:dyDescent="0.3">
      <c r="A1680" s="222"/>
      <c r="B1680" s="225"/>
      <c r="C1680" s="36" t="s">
        <v>579</v>
      </c>
      <c r="D1680" s="36" t="s">
        <v>20</v>
      </c>
      <c r="E1680" s="37">
        <v>1</v>
      </c>
      <c r="F1680" s="34" t="s">
        <v>572</v>
      </c>
      <c r="G1680" s="31" t="str">
        <f t="shared" si="27"/>
        <v/>
      </c>
      <c r="H1680" s="35"/>
      <c r="I1680" s="31"/>
      <c r="J1680" s="156">
        <v>0</v>
      </c>
    </row>
    <row r="1681" spans="1:10" ht="15.75" hidden="1" thickBot="1" x14ac:dyDescent="0.3">
      <c r="A1681" s="222"/>
      <c r="B1681" s="225"/>
      <c r="C1681" s="36"/>
      <c r="D1681" s="36"/>
      <c r="E1681" s="37"/>
      <c r="F1681" s="34" t="s">
        <v>572</v>
      </c>
      <c r="G1681" s="31" t="str">
        <f t="shared" si="27"/>
        <v/>
      </c>
      <c r="H1681" s="35"/>
      <c r="I1681" s="31"/>
      <c r="J1681" s="156">
        <v>0</v>
      </c>
    </row>
    <row r="1682" spans="1:10" ht="15.75" hidden="1" thickBot="1" x14ac:dyDescent="0.3">
      <c r="A1682" s="221" t="s">
        <v>580</v>
      </c>
      <c r="B1682" s="224" t="str">
        <f>INDEX(Orçamentária!A:B,MATCH(Composições!A1682,Orçamentária!A:A,0),2)</f>
        <v>Tampa RJ45 dupla para condulete</v>
      </c>
      <c r="C1682" s="41"/>
      <c r="D1682" s="26" t="str">
        <f>TRIM(INDEX(Orçamentária!C:C,MATCH(Composições!A1682,Orçamentária!A:A,0),1))</f>
        <v>un</v>
      </c>
      <c r="E1682" s="27"/>
      <c r="F1682" s="42" t="s">
        <v>572</v>
      </c>
      <c r="G1682" s="28" t="str">
        <f t="shared" si="27"/>
        <v/>
      </c>
      <c r="H1682" s="29"/>
      <c r="I1682" s="30"/>
      <c r="J1682" s="156">
        <v>0</v>
      </c>
    </row>
    <row r="1683" spans="1:10" ht="15.75" hidden="1" thickBot="1" x14ac:dyDescent="0.3">
      <c r="A1683" s="222"/>
      <c r="B1683" s="225"/>
      <c r="C1683" s="32"/>
      <c r="D1683" s="32"/>
      <c r="E1683" s="33"/>
      <c r="F1683" s="43" t="s">
        <v>572</v>
      </c>
      <c r="G1683" s="31" t="str">
        <f t="shared" si="27"/>
        <v/>
      </c>
      <c r="H1683" s="35"/>
      <c r="I1683" s="31"/>
      <c r="J1683" s="156">
        <v>0</v>
      </c>
    </row>
    <row r="1684" spans="1:10" ht="15.75" hidden="1" thickBot="1" x14ac:dyDescent="0.3">
      <c r="A1684" s="222"/>
      <c r="B1684" s="225"/>
      <c r="C1684" s="36" t="s">
        <v>74</v>
      </c>
      <c r="D1684" s="36" t="s">
        <v>12</v>
      </c>
      <c r="E1684" s="37">
        <v>0.15</v>
      </c>
      <c r="F1684" s="31">
        <v>17.366</v>
      </c>
      <c r="G1684" s="34">
        <f t="shared" si="27"/>
        <v>2.6048999999999998</v>
      </c>
      <c r="H1684" s="39">
        <f>SUM(G1684:G1686)</f>
        <v>5.9451000000000001</v>
      </c>
      <c r="I1684" s="40"/>
      <c r="J1684" s="156">
        <v>0</v>
      </c>
    </row>
    <row r="1685" spans="1:10" ht="15.75" hidden="1" thickBot="1" x14ac:dyDescent="0.3">
      <c r="A1685" s="222"/>
      <c r="B1685" s="225"/>
      <c r="C1685" s="36" t="s">
        <v>30</v>
      </c>
      <c r="D1685" s="36" t="s">
        <v>12</v>
      </c>
      <c r="E1685" s="37">
        <v>0.15</v>
      </c>
      <c r="F1685" s="31">
        <v>22.268000000000001</v>
      </c>
      <c r="G1685" s="34">
        <f t="shared" ref="G1685:G1748" si="28">IF(ISNUMBER(F1685),E1685*F1685,"")</f>
        <v>3.3401999999999998</v>
      </c>
      <c r="H1685" s="62"/>
      <c r="I1685" s="1"/>
      <c r="J1685" s="156">
        <v>0</v>
      </c>
    </row>
    <row r="1686" spans="1:10" ht="26.25" hidden="1" thickBot="1" x14ac:dyDescent="0.3">
      <c r="A1686" s="222"/>
      <c r="B1686" s="225"/>
      <c r="C1686" s="36" t="s">
        <v>581</v>
      </c>
      <c r="D1686" s="36" t="s">
        <v>20</v>
      </c>
      <c r="E1686" s="37">
        <v>1</v>
      </c>
      <c r="F1686" s="34" t="s">
        <v>572</v>
      </c>
      <c r="G1686" s="31" t="str">
        <f t="shared" si="28"/>
        <v/>
      </c>
      <c r="H1686" s="35"/>
      <c r="I1686" s="31"/>
      <c r="J1686" s="156">
        <v>0</v>
      </c>
    </row>
    <row r="1687" spans="1:10" ht="15.75" hidden="1" thickBot="1" x14ac:dyDescent="0.3">
      <c r="A1687" s="223"/>
      <c r="B1687" s="226"/>
      <c r="C1687" s="36"/>
      <c r="D1687" s="36"/>
      <c r="E1687" s="37"/>
      <c r="F1687" s="31" t="s">
        <v>572</v>
      </c>
      <c r="G1687" s="31" t="str">
        <f t="shared" si="28"/>
        <v/>
      </c>
      <c r="H1687" s="35"/>
      <c r="I1687" s="31"/>
      <c r="J1687" s="156">
        <v>0</v>
      </c>
    </row>
    <row r="1688" spans="1:10" ht="15.75" hidden="1" thickBot="1" x14ac:dyDescent="0.3">
      <c r="A1688" s="221" t="s">
        <v>582</v>
      </c>
      <c r="B1688" s="224" t="str">
        <f>INDEX(Orçamentária!A:B,MATCH(Composições!A1688,Orçamentária!A:A,0),2)</f>
        <v>Tomada para condulete</v>
      </c>
      <c r="C1688" s="41"/>
      <c r="D1688" s="26" t="str">
        <f>TRIM(INDEX(Orçamentária!C:C,MATCH(Composições!A1688,Orçamentária!A:A,0),1))</f>
        <v>un</v>
      </c>
      <c r="E1688" s="27"/>
      <c r="F1688" s="42" t="s">
        <v>572</v>
      </c>
      <c r="G1688" s="28" t="str">
        <f t="shared" si="28"/>
        <v/>
      </c>
      <c r="H1688" s="29"/>
      <c r="I1688" s="30"/>
      <c r="J1688" s="156">
        <v>0</v>
      </c>
    </row>
    <row r="1689" spans="1:10" ht="15.75" hidden="1" thickBot="1" x14ac:dyDescent="0.3">
      <c r="A1689" s="222"/>
      <c r="B1689" s="225"/>
      <c r="C1689" s="32"/>
      <c r="D1689" s="32"/>
      <c r="E1689" s="33"/>
      <c r="F1689" s="43" t="s">
        <v>572</v>
      </c>
      <c r="G1689" s="31" t="str">
        <f t="shared" si="28"/>
        <v/>
      </c>
      <c r="H1689" s="35"/>
      <c r="I1689" s="31"/>
      <c r="J1689" s="156">
        <v>0</v>
      </c>
    </row>
    <row r="1690" spans="1:10" ht="15.75" hidden="1" thickBot="1" x14ac:dyDescent="0.3">
      <c r="A1690" s="222"/>
      <c r="B1690" s="225"/>
      <c r="C1690" s="36" t="s">
        <v>30</v>
      </c>
      <c r="D1690" s="36" t="s">
        <v>12</v>
      </c>
      <c r="E1690" s="37">
        <v>0.308</v>
      </c>
      <c r="F1690" s="31">
        <v>22.268000000000001</v>
      </c>
      <c r="G1690" s="34">
        <f t="shared" si="28"/>
        <v>6.8585440000000002</v>
      </c>
      <c r="H1690" s="39">
        <f>SUM(G1690:G1693)</f>
        <v>12.207272</v>
      </c>
      <c r="I1690" s="40"/>
      <c r="J1690" s="156">
        <v>0</v>
      </c>
    </row>
    <row r="1691" spans="1:10" ht="15.75" hidden="1" thickBot="1" x14ac:dyDescent="0.3">
      <c r="A1691" s="222"/>
      <c r="B1691" s="225"/>
      <c r="C1691" s="36" t="s">
        <v>74</v>
      </c>
      <c r="D1691" s="36" t="s">
        <v>12</v>
      </c>
      <c r="E1691" s="37">
        <v>0.308</v>
      </c>
      <c r="F1691" s="31">
        <v>17.366</v>
      </c>
      <c r="G1691" s="34">
        <f t="shared" si="28"/>
        <v>5.3487279999999995</v>
      </c>
      <c r="H1691" s="35"/>
      <c r="I1691" s="31"/>
      <c r="J1691" s="156">
        <v>0</v>
      </c>
    </row>
    <row r="1692" spans="1:10" ht="26.25" hidden="1" thickBot="1" x14ac:dyDescent="0.3">
      <c r="A1692" s="222"/>
      <c r="B1692" s="225"/>
      <c r="C1692" s="36" t="s">
        <v>555</v>
      </c>
      <c r="D1692" s="36" t="s">
        <v>20</v>
      </c>
      <c r="E1692" s="37">
        <v>1</v>
      </c>
      <c r="F1692" s="34" t="s">
        <v>572</v>
      </c>
      <c r="G1692" s="34" t="str">
        <f t="shared" si="28"/>
        <v/>
      </c>
      <c r="H1692" s="35"/>
      <c r="I1692" s="31"/>
      <c r="J1692" s="156">
        <v>0</v>
      </c>
    </row>
    <row r="1693" spans="1:10" ht="26.25" hidden="1" thickBot="1" x14ac:dyDescent="0.3">
      <c r="A1693" s="222"/>
      <c r="B1693" s="225"/>
      <c r="C1693" s="36" t="s">
        <v>583</v>
      </c>
      <c r="D1693" s="36" t="s">
        <v>20</v>
      </c>
      <c r="E1693" s="37">
        <v>1</v>
      </c>
      <c r="F1693" s="34" t="s">
        <v>572</v>
      </c>
      <c r="G1693" s="31" t="str">
        <f t="shared" si="28"/>
        <v/>
      </c>
      <c r="H1693" s="35"/>
      <c r="I1693" s="31"/>
      <c r="J1693" s="156">
        <v>0</v>
      </c>
    </row>
    <row r="1694" spans="1:10" ht="15.75" hidden="1" thickBot="1" x14ac:dyDescent="0.3">
      <c r="A1694" s="223"/>
      <c r="B1694" s="226"/>
      <c r="C1694" s="36"/>
      <c r="D1694" s="36"/>
      <c r="E1694" s="37"/>
      <c r="F1694" s="31" t="s">
        <v>572</v>
      </c>
      <c r="G1694" s="31" t="str">
        <f t="shared" si="28"/>
        <v/>
      </c>
      <c r="H1694" s="35"/>
      <c r="I1694" s="31"/>
      <c r="J1694" s="156">
        <v>0</v>
      </c>
    </row>
    <row r="1695" spans="1:10" ht="15.75" hidden="1" thickBot="1" x14ac:dyDescent="0.3">
      <c r="A1695" s="221" t="s">
        <v>584</v>
      </c>
      <c r="B1695" s="224" t="str">
        <f>INDEX(Orçamentária!A:B,MATCH(Composições!A1695,Orçamentária!A:A,0),2)</f>
        <v>Tomada para perfilado e eletrocalha</v>
      </c>
      <c r="C1695" s="41"/>
      <c r="D1695" s="26" t="str">
        <f>TRIM(INDEX(Orçamentária!C:C,MATCH(Composições!A1695,Orçamentária!A:A,0),1))</f>
        <v>un</v>
      </c>
      <c r="E1695" s="27"/>
      <c r="F1695" s="42" t="s">
        <v>572</v>
      </c>
      <c r="G1695" s="28" t="str">
        <f t="shared" si="28"/>
        <v/>
      </c>
      <c r="H1695" s="29"/>
      <c r="I1695" s="30"/>
      <c r="J1695" s="156">
        <v>0</v>
      </c>
    </row>
    <row r="1696" spans="1:10" ht="15.75" hidden="1" thickBot="1" x14ac:dyDescent="0.3">
      <c r="A1696" s="222"/>
      <c r="B1696" s="225"/>
      <c r="C1696" s="32"/>
      <c r="D1696" s="32"/>
      <c r="E1696" s="33"/>
      <c r="F1696" s="43" t="s">
        <v>572</v>
      </c>
      <c r="G1696" s="31" t="str">
        <f t="shared" si="28"/>
        <v/>
      </c>
      <c r="H1696" s="35"/>
      <c r="I1696" s="31"/>
      <c r="J1696" s="156">
        <v>0</v>
      </c>
    </row>
    <row r="1697" spans="1:10" ht="15.75" hidden="1" thickBot="1" x14ac:dyDescent="0.3">
      <c r="A1697" s="222"/>
      <c r="B1697" s="225"/>
      <c r="C1697" s="36" t="s">
        <v>74</v>
      </c>
      <c r="D1697" s="36" t="s">
        <v>12</v>
      </c>
      <c r="E1697" s="37">
        <v>0.65</v>
      </c>
      <c r="F1697" s="31">
        <v>17.366</v>
      </c>
      <c r="G1697" s="34">
        <f t="shared" si="28"/>
        <v>11.2879</v>
      </c>
      <c r="H1697" s="39">
        <f>SUM(G1697:G1700)</f>
        <v>26.712100000000003</v>
      </c>
      <c r="I1697" s="40"/>
      <c r="J1697" s="156">
        <v>0</v>
      </c>
    </row>
    <row r="1698" spans="1:10" ht="15.75" hidden="1" thickBot="1" x14ac:dyDescent="0.3">
      <c r="A1698" s="222"/>
      <c r="B1698" s="225"/>
      <c r="C1698" s="36" t="s">
        <v>30</v>
      </c>
      <c r="D1698" s="36" t="s">
        <v>12</v>
      </c>
      <c r="E1698" s="37">
        <v>0.65</v>
      </c>
      <c r="F1698" s="31">
        <v>22.268000000000001</v>
      </c>
      <c r="G1698" s="34">
        <f t="shared" si="28"/>
        <v>14.474200000000002</v>
      </c>
      <c r="H1698" s="35"/>
      <c r="I1698" s="31"/>
      <c r="J1698" s="156">
        <v>0</v>
      </c>
    </row>
    <row r="1699" spans="1:10" ht="15.75" hidden="1" thickBot="1" x14ac:dyDescent="0.3">
      <c r="A1699" s="222"/>
      <c r="B1699" s="225"/>
      <c r="C1699" s="36" t="s">
        <v>585</v>
      </c>
      <c r="D1699" s="36" t="s">
        <v>20</v>
      </c>
      <c r="E1699" s="37">
        <v>1</v>
      </c>
      <c r="F1699" s="31">
        <v>0.95</v>
      </c>
      <c r="G1699" s="31">
        <f t="shared" si="28"/>
        <v>0.95</v>
      </c>
      <c r="H1699" s="35"/>
      <c r="I1699" s="31"/>
      <c r="J1699" s="156">
        <v>0</v>
      </c>
    </row>
    <row r="1700" spans="1:10" ht="15.75" hidden="1" thickBot="1" x14ac:dyDescent="0.3">
      <c r="A1700" s="222"/>
      <c r="B1700" s="225"/>
      <c r="C1700" s="36" t="s">
        <v>586</v>
      </c>
      <c r="D1700" s="36" t="s">
        <v>20</v>
      </c>
      <c r="E1700" s="37">
        <v>1</v>
      </c>
      <c r="F1700" s="31">
        <v>0</v>
      </c>
      <c r="G1700" s="31">
        <f t="shared" si="28"/>
        <v>0</v>
      </c>
      <c r="H1700" s="35"/>
      <c r="I1700" s="31"/>
      <c r="J1700" s="156">
        <v>0</v>
      </c>
    </row>
    <row r="1701" spans="1:10" ht="15.75" hidden="1" thickBot="1" x14ac:dyDescent="0.3">
      <c r="A1701" s="223"/>
      <c r="B1701" s="226"/>
      <c r="C1701" s="36"/>
      <c r="D1701" s="36"/>
      <c r="E1701" s="37"/>
      <c r="F1701" s="31" t="s">
        <v>572</v>
      </c>
      <c r="G1701" s="31" t="str">
        <f t="shared" si="28"/>
        <v/>
      </c>
      <c r="H1701" s="35"/>
      <c r="I1701" s="31"/>
      <c r="J1701" s="156">
        <v>0</v>
      </c>
    </row>
    <row r="1702" spans="1:10" ht="15.75" hidden="1" thickBot="1" x14ac:dyDescent="0.3">
      <c r="A1702" s="221" t="s">
        <v>587</v>
      </c>
      <c r="B1702" s="224" t="str">
        <f>INDEX(Orçamentária!A:B,MATCH(Composições!A1702,Orçamentária!A:A,0),2)</f>
        <v>Bloco autônomo de emergência</v>
      </c>
      <c r="C1702" s="41"/>
      <c r="D1702" s="26" t="str">
        <f>TRIM(INDEX(Orçamentária!C:C,MATCH(Composições!A1702,Orçamentária!A:A,0),1))</f>
        <v>un</v>
      </c>
      <c r="E1702" s="27"/>
      <c r="F1702" s="42" t="s">
        <v>572</v>
      </c>
      <c r="G1702" s="28" t="str">
        <f t="shared" si="28"/>
        <v/>
      </c>
      <c r="H1702" s="29"/>
      <c r="I1702" s="30"/>
      <c r="J1702" s="156">
        <v>0</v>
      </c>
    </row>
    <row r="1703" spans="1:10" ht="15.75" hidden="1" thickBot="1" x14ac:dyDescent="0.3">
      <c r="A1703" s="222"/>
      <c r="B1703" s="225"/>
      <c r="C1703" s="32"/>
      <c r="D1703" s="32"/>
      <c r="E1703" s="33"/>
      <c r="F1703" s="43" t="s">
        <v>572</v>
      </c>
      <c r="G1703" s="31" t="str">
        <f t="shared" si="28"/>
        <v/>
      </c>
      <c r="H1703" s="35"/>
      <c r="I1703" s="31"/>
      <c r="J1703" s="156">
        <v>0</v>
      </c>
    </row>
    <row r="1704" spans="1:10" ht="39" hidden="1" thickBot="1" x14ac:dyDescent="0.3">
      <c r="A1704" s="222"/>
      <c r="B1704" s="225"/>
      <c r="C1704" s="36" t="s">
        <v>588</v>
      </c>
      <c r="D1704" s="36" t="s">
        <v>150</v>
      </c>
      <c r="E1704" s="37">
        <v>1</v>
      </c>
      <c r="F1704" s="34" t="s">
        <v>572</v>
      </c>
      <c r="G1704" s="31" t="str">
        <f t="shared" si="28"/>
        <v/>
      </c>
      <c r="H1704" s="39">
        <f>SUM(G1704:G1706)</f>
        <v>5.2960828000000006</v>
      </c>
      <c r="I1704" s="40"/>
      <c r="J1704" s="156">
        <v>0</v>
      </c>
    </row>
    <row r="1705" spans="1:10" ht="15.75" hidden="1" thickBot="1" x14ac:dyDescent="0.3">
      <c r="A1705" s="222"/>
      <c r="B1705" s="225"/>
      <c r="C1705" s="36" t="s">
        <v>74</v>
      </c>
      <c r="D1705" s="47" t="s">
        <v>12</v>
      </c>
      <c r="E1705" s="37">
        <v>7.4800000000000005E-2</v>
      </c>
      <c r="F1705" s="31">
        <v>17.366</v>
      </c>
      <c r="G1705" s="31">
        <f t="shared" si="28"/>
        <v>1.2989768000000002</v>
      </c>
      <c r="H1705" s="35"/>
      <c r="I1705" s="31"/>
      <c r="J1705" s="156">
        <v>0</v>
      </c>
    </row>
    <row r="1706" spans="1:10" ht="15.75" hidden="1" thickBot="1" x14ac:dyDescent="0.3">
      <c r="A1706" s="222"/>
      <c r="B1706" s="225"/>
      <c r="C1706" s="36" t="s">
        <v>30</v>
      </c>
      <c r="D1706" s="36" t="s">
        <v>12</v>
      </c>
      <c r="E1706" s="37">
        <v>0.17949999999999999</v>
      </c>
      <c r="F1706" s="31">
        <v>22.268000000000001</v>
      </c>
      <c r="G1706" s="31">
        <f t="shared" si="28"/>
        <v>3.997106</v>
      </c>
      <c r="H1706" s="35"/>
      <c r="I1706" s="31"/>
      <c r="J1706" s="156">
        <v>0</v>
      </c>
    </row>
    <row r="1707" spans="1:10" ht="15.75" hidden="1" thickBot="1" x14ac:dyDescent="0.3">
      <c r="A1707" s="223"/>
      <c r="B1707" s="226"/>
      <c r="C1707" s="36"/>
      <c r="D1707" s="36"/>
      <c r="E1707" s="37"/>
      <c r="F1707" s="31" t="s">
        <v>572</v>
      </c>
      <c r="G1707" s="31" t="str">
        <f t="shared" si="28"/>
        <v/>
      </c>
      <c r="H1707" s="35"/>
      <c r="I1707" s="31"/>
      <c r="J1707" s="156">
        <v>0</v>
      </c>
    </row>
    <row r="1708" spans="1:10" ht="15.75" hidden="1" thickBot="1" x14ac:dyDescent="0.3">
      <c r="A1708" s="221" t="s">
        <v>589</v>
      </c>
      <c r="B1708" s="224" t="str">
        <f>INDEX(Orçamentária!A:B,MATCH(Composições!A1708,Orçamentária!A:A,0),2)</f>
        <v>Instalação de luminária reaproveitada</v>
      </c>
      <c r="C1708" s="41"/>
      <c r="D1708" s="26" t="str">
        <f>TRIM(INDEX(Orçamentária!C:C,MATCH(Composições!A1708,Orçamentária!A:A,0),1))</f>
        <v>un</v>
      </c>
      <c r="E1708" s="27"/>
      <c r="F1708" s="42" t="s">
        <v>572</v>
      </c>
      <c r="G1708" s="28" t="str">
        <f t="shared" si="28"/>
        <v/>
      </c>
      <c r="H1708" s="29"/>
      <c r="I1708" s="30"/>
      <c r="J1708" s="156">
        <v>0</v>
      </c>
    </row>
    <row r="1709" spans="1:10" ht="15.75" hidden="1" thickBot="1" x14ac:dyDescent="0.3">
      <c r="A1709" s="222"/>
      <c r="B1709" s="225"/>
      <c r="C1709" s="32"/>
      <c r="D1709" s="32"/>
      <c r="E1709" s="33"/>
      <c r="F1709" s="43" t="s">
        <v>572</v>
      </c>
      <c r="G1709" s="31" t="str">
        <f t="shared" si="28"/>
        <v/>
      </c>
      <c r="H1709" s="35"/>
      <c r="I1709" s="31"/>
      <c r="J1709" s="156">
        <v>0</v>
      </c>
    </row>
    <row r="1710" spans="1:10" ht="15.75" hidden="1" thickBot="1" x14ac:dyDescent="0.3">
      <c r="A1710" s="222"/>
      <c r="B1710" s="225"/>
      <c r="C1710" s="36" t="s">
        <v>74</v>
      </c>
      <c r="D1710" s="47" t="s">
        <v>12</v>
      </c>
      <c r="E1710" s="37">
        <v>0.14799999999999999</v>
      </c>
      <c r="F1710" s="31">
        <v>17.366</v>
      </c>
      <c r="G1710" s="31">
        <f t="shared" si="28"/>
        <v>2.5701679999999998</v>
      </c>
      <c r="H1710" s="39">
        <f>SUM(G1710:G1714)</f>
        <v>10.477534800000001</v>
      </c>
      <c r="I1710" s="40"/>
      <c r="J1710" s="156">
        <v>0</v>
      </c>
    </row>
    <row r="1711" spans="1:10" ht="15.75" hidden="1" thickBot="1" x14ac:dyDescent="0.3">
      <c r="A1711" s="222"/>
      <c r="B1711" s="225"/>
      <c r="C1711" s="36" t="s">
        <v>30</v>
      </c>
      <c r="D1711" s="36" t="s">
        <v>12</v>
      </c>
      <c r="E1711" s="37">
        <v>0.35510000000000003</v>
      </c>
      <c r="F1711" s="31">
        <v>22.268000000000001</v>
      </c>
      <c r="G1711" s="31">
        <f t="shared" si="28"/>
        <v>7.907366800000001</v>
      </c>
      <c r="H1711" s="45"/>
      <c r="I1711" s="46"/>
      <c r="J1711" s="156">
        <v>0</v>
      </c>
    </row>
    <row r="1712" spans="1:10" ht="26.25" hidden="1" thickBot="1" x14ac:dyDescent="0.3">
      <c r="A1712" s="222"/>
      <c r="B1712" s="225"/>
      <c r="C1712" s="36" t="s">
        <v>590</v>
      </c>
      <c r="D1712" s="36" t="s">
        <v>94</v>
      </c>
      <c r="E1712" s="37">
        <v>1.5</v>
      </c>
      <c r="F1712" s="34" t="s">
        <v>572</v>
      </c>
      <c r="G1712" s="31" t="str">
        <f t="shared" si="28"/>
        <v/>
      </c>
      <c r="H1712" s="35"/>
      <c r="I1712" s="31"/>
      <c r="J1712" s="156">
        <v>0</v>
      </c>
    </row>
    <row r="1713" spans="1:10" ht="15.75" hidden="1" thickBot="1" x14ac:dyDescent="0.3">
      <c r="A1713" s="222"/>
      <c r="B1713" s="225"/>
      <c r="C1713" s="36" t="s">
        <v>591</v>
      </c>
      <c r="D1713" s="36" t="s">
        <v>150</v>
      </c>
      <c r="E1713" s="37">
        <v>1</v>
      </c>
      <c r="F1713" s="34" t="s">
        <v>572</v>
      </c>
      <c r="G1713" s="31" t="str">
        <f t="shared" si="28"/>
        <v/>
      </c>
      <c r="H1713" s="35"/>
      <c r="I1713" s="31"/>
      <c r="J1713" s="156">
        <v>0</v>
      </c>
    </row>
    <row r="1714" spans="1:10" ht="15.75" hidden="1" thickBot="1" x14ac:dyDescent="0.3">
      <c r="A1714" s="222"/>
      <c r="B1714" s="225"/>
      <c r="C1714" s="36" t="s">
        <v>592</v>
      </c>
      <c r="D1714" s="36" t="s">
        <v>150</v>
      </c>
      <c r="E1714" s="37">
        <v>1</v>
      </c>
      <c r="F1714" s="34" t="s">
        <v>572</v>
      </c>
      <c r="G1714" s="31" t="str">
        <f t="shared" si="28"/>
        <v/>
      </c>
      <c r="H1714" s="35"/>
      <c r="I1714" s="31"/>
      <c r="J1714" s="156">
        <v>0</v>
      </c>
    </row>
    <row r="1715" spans="1:10" ht="15.75" hidden="1" thickBot="1" x14ac:dyDescent="0.3">
      <c r="A1715" s="223"/>
      <c r="B1715" s="226"/>
      <c r="C1715" s="36"/>
      <c r="D1715" s="36"/>
      <c r="E1715" s="37"/>
      <c r="F1715" s="31" t="s">
        <v>572</v>
      </c>
      <c r="G1715" s="31" t="str">
        <f t="shared" si="28"/>
        <v/>
      </c>
      <c r="H1715" s="35"/>
      <c r="I1715" s="31"/>
      <c r="J1715" s="156">
        <v>0</v>
      </c>
    </row>
    <row r="1716" spans="1:10" ht="15.75" hidden="1" thickBot="1" x14ac:dyDescent="0.3">
      <c r="A1716" s="221" t="s">
        <v>593</v>
      </c>
      <c r="B1716" s="224" t="str">
        <f>INDEX(Orçamentária!A:B,MATCH(Composições!A1716,Orçamentária!A:A,0),2)</f>
        <v>Luminária 2x14 W de embutir</v>
      </c>
      <c r="C1716" s="41"/>
      <c r="D1716" s="26" t="str">
        <f>TRIM(INDEX(Orçamentária!C:C,MATCH(Composições!A1716,Orçamentária!A:A,0),1))</f>
        <v>un</v>
      </c>
      <c r="E1716" s="27"/>
      <c r="F1716" s="42" t="s">
        <v>572</v>
      </c>
      <c r="G1716" s="28" t="str">
        <f t="shared" si="28"/>
        <v/>
      </c>
      <c r="H1716" s="29"/>
      <c r="I1716" s="30"/>
      <c r="J1716" s="156">
        <v>0</v>
      </c>
    </row>
    <row r="1717" spans="1:10" ht="15.75" hidden="1" thickBot="1" x14ac:dyDescent="0.3">
      <c r="A1717" s="222"/>
      <c r="B1717" s="225"/>
      <c r="C1717" s="32"/>
      <c r="D1717" s="32"/>
      <c r="E1717" s="33"/>
      <c r="F1717" s="43" t="s">
        <v>572</v>
      </c>
      <c r="G1717" s="31" t="str">
        <f t="shared" si="28"/>
        <v/>
      </c>
      <c r="H1717" s="35"/>
      <c r="I1717" s="31"/>
      <c r="J1717" s="156">
        <v>0</v>
      </c>
    </row>
    <row r="1718" spans="1:10" ht="26.25" hidden="1" thickBot="1" x14ac:dyDescent="0.3">
      <c r="A1718" s="222"/>
      <c r="B1718" s="225"/>
      <c r="C1718" s="36" t="s">
        <v>594</v>
      </c>
      <c r="D1718" s="36" t="s">
        <v>150</v>
      </c>
      <c r="E1718" s="37">
        <v>1</v>
      </c>
      <c r="F1718" s="34" t="s">
        <v>572</v>
      </c>
      <c r="G1718" s="34" t="str">
        <f t="shared" si="28"/>
        <v/>
      </c>
      <c r="H1718" s="39">
        <f>SUM(G1718:G1725)</f>
        <v>10.477534800000001</v>
      </c>
      <c r="I1718" s="40"/>
      <c r="J1718" s="156">
        <v>0</v>
      </c>
    </row>
    <row r="1719" spans="1:10" ht="26.25" hidden="1" thickBot="1" x14ac:dyDescent="0.3">
      <c r="A1719" s="222"/>
      <c r="B1719" s="225"/>
      <c r="C1719" s="36" t="s">
        <v>595</v>
      </c>
      <c r="D1719" s="36" t="s">
        <v>150</v>
      </c>
      <c r="E1719" s="37">
        <v>1</v>
      </c>
      <c r="F1719" s="34" t="s">
        <v>572</v>
      </c>
      <c r="G1719" s="34" t="str">
        <f t="shared" si="28"/>
        <v/>
      </c>
      <c r="H1719" s="45"/>
      <c r="I1719" s="46"/>
      <c r="J1719" s="156">
        <v>0</v>
      </c>
    </row>
    <row r="1720" spans="1:10" ht="26.25" hidden="1" thickBot="1" x14ac:dyDescent="0.3">
      <c r="A1720" s="222"/>
      <c r="B1720" s="225"/>
      <c r="C1720" s="36" t="s">
        <v>596</v>
      </c>
      <c r="D1720" s="36" t="s">
        <v>150</v>
      </c>
      <c r="E1720" s="37">
        <v>2</v>
      </c>
      <c r="F1720" s="34" t="s">
        <v>572</v>
      </c>
      <c r="G1720" s="34" t="str">
        <f t="shared" si="28"/>
        <v/>
      </c>
      <c r="H1720" s="45"/>
      <c r="I1720" s="46"/>
      <c r="J1720" s="156">
        <v>0</v>
      </c>
    </row>
    <row r="1721" spans="1:10" ht="26.25" hidden="1" thickBot="1" x14ac:dyDescent="0.3">
      <c r="A1721" s="222"/>
      <c r="B1721" s="225"/>
      <c r="C1721" s="36" t="s">
        <v>590</v>
      </c>
      <c r="D1721" s="36" t="s">
        <v>94</v>
      </c>
      <c r="E1721" s="37">
        <v>1.5</v>
      </c>
      <c r="F1721" s="34" t="s">
        <v>572</v>
      </c>
      <c r="G1721" s="31" t="str">
        <f t="shared" si="28"/>
        <v/>
      </c>
      <c r="H1721" s="35"/>
      <c r="I1721" s="31"/>
      <c r="J1721" s="156">
        <v>0</v>
      </c>
    </row>
    <row r="1722" spans="1:10" ht="15.75" hidden="1" thickBot="1" x14ac:dyDescent="0.3">
      <c r="A1722" s="222"/>
      <c r="B1722" s="225"/>
      <c r="C1722" s="36" t="s">
        <v>591</v>
      </c>
      <c r="D1722" s="36" t="s">
        <v>150</v>
      </c>
      <c r="E1722" s="37">
        <v>1</v>
      </c>
      <c r="F1722" s="34" t="s">
        <v>572</v>
      </c>
      <c r="G1722" s="31" t="str">
        <f t="shared" si="28"/>
        <v/>
      </c>
      <c r="H1722" s="35"/>
      <c r="I1722" s="31"/>
      <c r="J1722" s="156">
        <v>0</v>
      </c>
    </row>
    <row r="1723" spans="1:10" ht="15.75" hidden="1" thickBot="1" x14ac:dyDescent="0.3">
      <c r="A1723" s="222"/>
      <c r="B1723" s="225"/>
      <c r="C1723" s="36" t="s">
        <v>592</v>
      </c>
      <c r="D1723" s="36" t="s">
        <v>150</v>
      </c>
      <c r="E1723" s="37">
        <v>1</v>
      </c>
      <c r="F1723" s="34" t="s">
        <v>572</v>
      </c>
      <c r="G1723" s="31" t="str">
        <f t="shared" si="28"/>
        <v/>
      </c>
      <c r="H1723" s="35"/>
      <c r="I1723" s="31"/>
      <c r="J1723" s="156">
        <v>0</v>
      </c>
    </row>
    <row r="1724" spans="1:10" ht="15.75" hidden="1" thickBot="1" x14ac:dyDescent="0.3">
      <c r="A1724" s="222"/>
      <c r="B1724" s="225"/>
      <c r="C1724" s="36" t="s">
        <v>74</v>
      </c>
      <c r="D1724" s="36" t="s">
        <v>12</v>
      </c>
      <c r="E1724" s="37">
        <v>0.14799999999999999</v>
      </c>
      <c r="F1724" s="31">
        <v>17.366</v>
      </c>
      <c r="G1724" s="34">
        <f t="shared" si="28"/>
        <v>2.5701679999999998</v>
      </c>
      <c r="H1724" s="35"/>
      <c r="I1724" s="31"/>
      <c r="J1724" s="156">
        <v>0</v>
      </c>
    </row>
    <row r="1725" spans="1:10" ht="15.75" hidden="1" thickBot="1" x14ac:dyDescent="0.3">
      <c r="A1725" s="222"/>
      <c r="B1725" s="225"/>
      <c r="C1725" s="36" t="s">
        <v>30</v>
      </c>
      <c r="D1725" s="36" t="s">
        <v>12</v>
      </c>
      <c r="E1725" s="37">
        <v>0.35510000000000003</v>
      </c>
      <c r="F1725" s="31">
        <v>22.268000000000001</v>
      </c>
      <c r="G1725" s="31">
        <f t="shared" si="28"/>
        <v>7.907366800000001</v>
      </c>
      <c r="H1725" s="35"/>
      <c r="I1725" s="31"/>
      <c r="J1725" s="156">
        <v>0</v>
      </c>
    </row>
    <row r="1726" spans="1:10" ht="15.75" hidden="1" thickBot="1" x14ac:dyDescent="0.3">
      <c r="A1726" s="223"/>
      <c r="B1726" s="226"/>
      <c r="C1726" s="36"/>
      <c r="D1726" s="36"/>
      <c r="E1726" s="37"/>
      <c r="F1726" s="31" t="s">
        <v>572</v>
      </c>
      <c r="G1726" s="31" t="str">
        <f t="shared" si="28"/>
        <v/>
      </c>
      <c r="H1726" s="35"/>
      <c r="I1726" s="31"/>
      <c r="J1726" s="156">
        <v>0</v>
      </c>
    </row>
    <row r="1727" spans="1:10" ht="15.75" hidden="1" thickBot="1" x14ac:dyDescent="0.3">
      <c r="A1727" s="221" t="s">
        <v>597</v>
      </c>
      <c r="B1727" s="224" t="str">
        <f>INDEX(Orçamentária!A:B,MATCH(Composições!A1727,Orçamentária!A:A,0),2)</f>
        <v>Luminária 2x14 W de sobrepor</v>
      </c>
      <c r="C1727" s="41"/>
      <c r="D1727" s="26" t="str">
        <f>TRIM(INDEX(Orçamentária!C:C,MATCH(Composições!A1727,Orçamentária!A:A,0),1))</f>
        <v>un</v>
      </c>
      <c r="E1727" s="27"/>
      <c r="F1727" s="42" t="s">
        <v>572</v>
      </c>
      <c r="G1727" s="28" t="str">
        <f t="shared" si="28"/>
        <v/>
      </c>
      <c r="H1727" s="29"/>
      <c r="I1727" s="30"/>
      <c r="J1727" s="156">
        <v>0</v>
      </c>
    </row>
    <row r="1728" spans="1:10" ht="15.75" hidden="1" thickBot="1" x14ac:dyDescent="0.3">
      <c r="A1728" s="222"/>
      <c r="B1728" s="225"/>
      <c r="C1728" s="32"/>
      <c r="D1728" s="32"/>
      <c r="E1728" s="33"/>
      <c r="F1728" s="43" t="s">
        <v>572</v>
      </c>
      <c r="G1728" s="31" t="str">
        <f t="shared" si="28"/>
        <v/>
      </c>
      <c r="H1728" s="35"/>
      <c r="I1728" s="31"/>
      <c r="J1728" s="156">
        <v>0</v>
      </c>
    </row>
    <row r="1729" spans="1:10" ht="26.25" hidden="1" thickBot="1" x14ac:dyDescent="0.3">
      <c r="A1729" s="222"/>
      <c r="B1729" s="225"/>
      <c r="C1729" s="36" t="s">
        <v>598</v>
      </c>
      <c r="D1729" s="36" t="s">
        <v>150</v>
      </c>
      <c r="E1729" s="37">
        <v>1</v>
      </c>
      <c r="F1729" s="34" t="s">
        <v>572</v>
      </c>
      <c r="G1729" s="34" t="str">
        <f t="shared" si="28"/>
        <v/>
      </c>
      <c r="H1729" s="39">
        <f>SUM(G1729:G1736)</f>
        <v>12.226967399999999</v>
      </c>
      <c r="I1729" s="40"/>
      <c r="J1729" s="156">
        <v>0</v>
      </c>
    </row>
    <row r="1730" spans="1:10" ht="26.25" hidden="1" thickBot="1" x14ac:dyDescent="0.3">
      <c r="A1730" s="222"/>
      <c r="B1730" s="225"/>
      <c r="C1730" s="36" t="s">
        <v>595</v>
      </c>
      <c r="D1730" s="36" t="s">
        <v>150</v>
      </c>
      <c r="E1730" s="37">
        <v>1</v>
      </c>
      <c r="F1730" s="34" t="s">
        <v>572</v>
      </c>
      <c r="G1730" s="34" t="str">
        <f t="shared" si="28"/>
        <v/>
      </c>
      <c r="H1730" s="45"/>
      <c r="I1730" s="46"/>
      <c r="J1730" s="156">
        <v>0</v>
      </c>
    </row>
    <row r="1731" spans="1:10" ht="26.25" hidden="1" thickBot="1" x14ac:dyDescent="0.3">
      <c r="A1731" s="222"/>
      <c r="B1731" s="225"/>
      <c r="C1731" s="36" t="s">
        <v>596</v>
      </c>
      <c r="D1731" s="36" t="s">
        <v>150</v>
      </c>
      <c r="E1731" s="37">
        <v>2</v>
      </c>
      <c r="F1731" s="34" t="s">
        <v>572</v>
      </c>
      <c r="G1731" s="34" t="str">
        <f t="shared" si="28"/>
        <v/>
      </c>
      <c r="H1731" s="45"/>
      <c r="I1731" s="46"/>
      <c r="J1731" s="156">
        <v>0</v>
      </c>
    </row>
    <row r="1732" spans="1:10" ht="26.25" hidden="1" thickBot="1" x14ac:dyDescent="0.3">
      <c r="A1732" s="222"/>
      <c r="B1732" s="225"/>
      <c r="C1732" s="36" t="s">
        <v>590</v>
      </c>
      <c r="D1732" s="36" t="s">
        <v>94</v>
      </c>
      <c r="E1732" s="37">
        <v>1.5</v>
      </c>
      <c r="F1732" s="34" t="s">
        <v>572</v>
      </c>
      <c r="G1732" s="31" t="str">
        <f t="shared" si="28"/>
        <v/>
      </c>
      <c r="H1732" s="35"/>
      <c r="I1732" s="31"/>
      <c r="J1732" s="156">
        <v>0</v>
      </c>
    </row>
    <row r="1733" spans="1:10" ht="15.75" hidden="1" thickBot="1" x14ac:dyDescent="0.3">
      <c r="A1733" s="222"/>
      <c r="B1733" s="225"/>
      <c r="C1733" s="36" t="s">
        <v>591</v>
      </c>
      <c r="D1733" s="36" t="s">
        <v>150</v>
      </c>
      <c r="E1733" s="37">
        <v>1</v>
      </c>
      <c r="F1733" s="34" t="s">
        <v>572</v>
      </c>
      <c r="G1733" s="31" t="str">
        <f t="shared" si="28"/>
        <v/>
      </c>
      <c r="H1733" s="35"/>
      <c r="I1733" s="31"/>
      <c r="J1733" s="156">
        <v>0</v>
      </c>
    </row>
    <row r="1734" spans="1:10" ht="15.75" hidden="1" thickBot="1" x14ac:dyDescent="0.3">
      <c r="A1734" s="222"/>
      <c r="B1734" s="225"/>
      <c r="C1734" s="36" t="s">
        <v>592</v>
      </c>
      <c r="D1734" s="36" t="s">
        <v>150</v>
      </c>
      <c r="E1734" s="37">
        <v>1</v>
      </c>
      <c r="F1734" s="34" t="s">
        <v>572</v>
      </c>
      <c r="G1734" s="31" t="str">
        <f t="shared" si="28"/>
        <v/>
      </c>
      <c r="H1734" s="35"/>
      <c r="I1734" s="31"/>
      <c r="J1734" s="156">
        <v>0</v>
      </c>
    </row>
    <row r="1735" spans="1:10" ht="15.75" hidden="1" thickBot="1" x14ac:dyDescent="0.3">
      <c r="A1735" s="222"/>
      <c r="B1735" s="225"/>
      <c r="C1735" s="36" t="s">
        <v>74</v>
      </c>
      <c r="D1735" s="47" t="s">
        <v>12</v>
      </c>
      <c r="E1735" s="37">
        <v>0.17269999999999999</v>
      </c>
      <c r="F1735" s="31">
        <v>17.366</v>
      </c>
      <c r="G1735" s="31">
        <f t="shared" si="28"/>
        <v>2.9991081999999998</v>
      </c>
      <c r="H1735" s="35"/>
      <c r="I1735" s="31"/>
      <c r="J1735" s="156">
        <v>0</v>
      </c>
    </row>
    <row r="1736" spans="1:10" ht="15.75" hidden="1" thickBot="1" x14ac:dyDescent="0.3">
      <c r="A1736" s="222"/>
      <c r="B1736" s="225"/>
      <c r="C1736" s="36" t="s">
        <v>30</v>
      </c>
      <c r="D1736" s="36" t="s">
        <v>12</v>
      </c>
      <c r="E1736" s="37">
        <v>0.41439999999999999</v>
      </c>
      <c r="F1736" s="31">
        <v>22.268000000000001</v>
      </c>
      <c r="G1736" s="31">
        <f t="shared" si="28"/>
        <v>9.2278591999999993</v>
      </c>
      <c r="H1736" s="35"/>
      <c r="I1736" s="31"/>
      <c r="J1736" s="156">
        <v>0</v>
      </c>
    </row>
    <row r="1737" spans="1:10" ht="15.75" hidden="1" thickBot="1" x14ac:dyDescent="0.3">
      <c r="A1737" s="223"/>
      <c r="B1737" s="226"/>
      <c r="C1737" s="36"/>
      <c r="D1737" s="36"/>
      <c r="E1737" s="37"/>
      <c r="F1737" s="31" t="s">
        <v>572</v>
      </c>
      <c r="G1737" s="31" t="str">
        <f t="shared" si="28"/>
        <v/>
      </c>
      <c r="H1737" s="35"/>
      <c r="I1737" s="31"/>
      <c r="J1737" s="156">
        <v>0</v>
      </c>
    </row>
    <row r="1738" spans="1:10" ht="15.75" hidden="1" thickBot="1" x14ac:dyDescent="0.3">
      <c r="A1738" s="221" t="s">
        <v>599</v>
      </c>
      <c r="B1738" s="224" t="str">
        <f>INDEX(Orçamentária!A:B,MATCH(Composições!A1738,Orçamentária!A:A,0),2)</f>
        <v>Luminária 2x28 W de embutir</v>
      </c>
      <c r="C1738" s="41"/>
      <c r="D1738" s="26" t="str">
        <f>TRIM(INDEX(Orçamentária!C:C,MATCH(Composições!A1738,Orçamentária!A:A,0),1))</f>
        <v>un</v>
      </c>
      <c r="E1738" s="27"/>
      <c r="F1738" s="42" t="s">
        <v>572</v>
      </c>
      <c r="G1738" s="28" t="str">
        <f t="shared" si="28"/>
        <v/>
      </c>
      <c r="H1738" s="29"/>
      <c r="I1738" s="30"/>
      <c r="J1738" s="156">
        <v>0</v>
      </c>
    </row>
    <row r="1739" spans="1:10" ht="15.75" hidden="1" thickBot="1" x14ac:dyDescent="0.3">
      <c r="A1739" s="222"/>
      <c r="B1739" s="225"/>
      <c r="C1739" s="32"/>
      <c r="D1739" s="32"/>
      <c r="E1739" s="33"/>
      <c r="F1739" s="43" t="s">
        <v>572</v>
      </c>
      <c r="G1739" s="31" t="str">
        <f t="shared" si="28"/>
        <v/>
      </c>
      <c r="H1739" s="35"/>
      <c r="I1739" s="31"/>
      <c r="J1739" s="156">
        <v>0</v>
      </c>
    </row>
    <row r="1740" spans="1:10" ht="26.25" hidden="1" thickBot="1" x14ac:dyDescent="0.3">
      <c r="A1740" s="222"/>
      <c r="B1740" s="225"/>
      <c r="C1740" s="36" t="s">
        <v>600</v>
      </c>
      <c r="D1740" s="36" t="s">
        <v>150</v>
      </c>
      <c r="E1740" s="37">
        <v>1</v>
      </c>
      <c r="F1740" s="34" t="s">
        <v>572</v>
      </c>
      <c r="G1740" s="31" t="str">
        <f t="shared" si="28"/>
        <v/>
      </c>
      <c r="H1740" s="39">
        <f>SUM(G1740:G1747)</f>
        <v>10.477534800000001</v>
      </c>
      <c r="I1740" s="40"/>
      <c r="J1740" s="156">
        <v>0</v>
      </c>
    </row>
    <row r="1741" spans="1:10" ht="26.25" hidden="1" thickBot="1" x14ac:dyDescent="0.3">
      <c r="A1741" s="222"/>
      <c r="B1741" s="225"/>
      <c r="C1741" s="36" t="s">
        <v>601</v>
      </c>
      <c r="D1741" s="36" t="s">
        <v>150</v>
      </c>
      <c r="E1741" s="37">
        <v>1</v>
      </c>
      <c r="F1741" s="34" t="s">
        <v>572</v>
      </c>
      <c r="G1741" s="31" t="str">
        <f t="shared" si="28"/>
        <v/>
      </c>
      <c r="H1741" s="45"/>
      <c r="I1741" s="46"/>
      <c r="J1741" s="156">
        <v>0</v>
      </c>
    </row>
    <row r="1742" spans="1:10" ht="26.25" hidden="1" thickBot="1" x14ac:dyDescent="0.3">
      <c r="A1742" s="222"/>
      <c r="B1742" s="225"/>
      <c r="C1742" s="36" t="s">
        <v>602</v>
      </c>
      <c r="D1742" s="36" t="s">
        <v>150</v>
      </c>
      <c r="E1742" s="37">
        <v>2</v>
      </c>
      <c r="F1742" s="34" t="s">
        <v>572</v>
      </c>
      <c r="G1742" s="31" t="str">
        <f t="shared" si="28"/>
        <v/>
      </c>
      <c r="H1742" s="45"/>
      <c r="I1742" s="46"/>
      <c r="J1742" s="156">
        <v>0</v>
      </c>
    </row>
    <row r="1743" spans="1:10" ht="26.25" hidden="1" thickBot="1" x14ac:dyDescent="0.3">
      <c r="A1743" s="222"/>
      <c r="B1743" s="225"/>
      <c r="C1743" s="36" t="s">
        <v>590</v>
      </c>
      <c r="D1743" s="36" t="s">
        <v>94</v>
      </c>
      <c r="E1743" s="37">
        <v>1.5</v>
      </c>
      <c r="F1743" s="34" t="s">
        <v>572</v>
      </c>
      <c r="G1743" s="31" t="str">
        <f t="shared" si="28"/>
        <v/>
      </c>
      <c r="H1743" s="35"/>
      <c r="I1743" s="31"/>
      <c r="J1743" s="156">
        <v>0</v>
      </c>
    </row>
    <row r="1744" spans="1:10" ht="15.75" hidden="1" thickBot="1" x14ac:dyDescent="0.3">
      <c r="A1744" s="222"/>
      <c r="B1744" s="225"/>
      <c r="C1744" s="36" t="s">
        <v>591</v>
      </c>
      <c r="D1744" s="36" t="s">
        <v>150</v>
      </c>
      <c r="E1744" s="37">
        <v>1</v>
      </c>
      <c r="F1744" s="34" t="s">
        <v>572</v>
      </c>
      <c r="G1744" s="31" t="str">
        <f t="shared" si="28"/>
        <v/>
      </c>
      <c r="H1744" s="35"/>
      <c r="I1744" s="31"/>
      <c r="J1744" s="156">
        <v>0</v>
      </c>
    </row>
    <row r="1745" spans="1:10" ht="15.75" hidden="1" thickBot="1" x14ac:dyDescent="0.3">
      <c r="A1745" s="222"/>
      <c r="B1745" s="225"/>
      <c r="C1745" s="36" t="s">
        <v>592</v>
      </c>
      <c r="D1745" s="36" t="s">
        <v>150</v>
      </c>
      <c r="E1745" s="37">
        <v>1</v>
      </c>
      <c r="F1745" s="34" t="s">
        <v>572</v>
      </c>
      <c r="G1745" s="31" t="str">
        <f t="shared" si="28"/>
        <v/>
      </c>
      <c r="H1745" s="35"/>
      <c r="I1745" s="31"/>
      <c r="J1745" s="156">
        <v>0</v>
      </c>
    </row>
    <row r="1746" spans="1:10" ht="15.75" hidden="1" thickBot="1" x14ac:dyDescent="0.3">
      <c r="A1746" s="222"/>
      <c r="B1746" s="225"/>
      <c r="C1746" s="36" t="s">
        <v>74</v>
      </c>
      <c r="D1746" s="36" t="s">
        <v>12</v>
      </c>
      <c r="E1746" s="37">
        <v>0.14799999999999999</v>
      </c>
      <c r="F1746" s="31">
        <v>17.366</v>
      </c>
      <c r="G1746" s="34">
        <f t="shared" si="28"/>
        <v>2.5701679999999998</v>
      </c>
      <c r="H1746" s="35"/>
      <c r="I1746" s="31"/>
      <c r="J1746" s="156">
        <v>0</v>
      </c>
    </row>
    <row r="1747" spans="1:10" ht="15.75" hidden="1" thickBot="1" x14ac:dyDescent="0.3">
      <c r="A1747" s="222"/>
      <c r="B1747" s="225"/>
      <c r="C1747" s="36" t="s">
        <v>30</v>
      </c>
      <c r="D1747" s="36" t="s">
        <v>12</v>
      </c>
      <c r="E1747" s="37">
        <v>0.35510000000000003</v>
      </c>
      <c r="F1747" s="31">
        <v>22.268000000000001</v>
      </c>
      <c r="G1747" s="31">
        <f t="shared" si="28"/>
        <v>7.907366800000001</v>
      </c>
      <c r="H1747" s="35"/>
      <c r="I1747" s="31"/>
      <c r="J1747" s="156">
        <v>0</v>
      </c>
    </row>
    <row r="1748" spans="1:10" ht="15.75" hidden="1" thickBot="1" x14ac:dyDescent="0.3">
      <c r="A1748" s="223"/>
      <c r="B1748" s="226"/>
      <c r="C1748" s="36"/>
      <c r="D1748" s="36"/>
      <c r="E1748" s="37"/>
      <c r="F1748" s="31" t="s">
        <v>572</v>
      </c>
      <c r="G1748" s="31" t="str">
        <f t="shared" si="28"/>
        <v/>
      </c>
      <c r="H1748" s="35"/>
      <c r="I1748" s="31"/>
      <c r="J1748" s="156">
        <v>0</v>
      </c>
    </row>
    <row r="1749" spans="1:10" ht="15.75" hidden="1" thickBot="1" x14ac:dyDescent="0.3">
      <c r="A1749" s="221" t="s">
        <v>603</v>
      </c>
      <c r="B1749" s="224" t="str">
        <f>INDEX(Orçamentária!A:B,MATCH(Composições!A1749,Orçamentária!A:A,0),2)</f>
        <v>Luminária 2x28 W de sobrepor</v>
      </c>
      <c r="C1749" s="41"/>
      <c r="D1749" s="26" t="str">
        <f>TRIM(INDEX(Orçamentária!C:C,MATCH(Composições!A1749,Orçamentária!A:A,0),1))</f>
        <v>un</v>
      </c>
      <c r="E1749" s="27"/>
      <c r="F1749" s="42" t="s">
        <v>572</v>
      </c>
      <c r="G1749" s="28" t="str">
        <f t="shared" ref="G1749:G1812" si="29">IF(ISNUMBER(F1749),E1749*F1749,"")</f>
        <v/>
      </c>
      <c r="H1749" s="29"/>
      <c r="I1749" s="30"/>
      <c r="J1749" s="156">
        <v>0</v>
      </c>
    </row>
    <row r="1750" spans="1:10" ht="15.75" hidden="1" thickBot="1" x14ac:dyDescent="0.3">
      <c r="A1750" s="222"/>
      <c r="B1750" s="225"/>
      <c r="C1750" s="32"/>
      <c r="D1750" s="32"/>
      <c r="E1750" s="33"/>
      <c r="F1750" s="43" t="s">
        <v>572</v>
      </c>
      <c r="G1750" s="31" t="str">
        <f t="shared" si="29"/>
        <v/>
      </c>
      <c r="H1750" s="35"/>
      <c r="I1750" s="31"/>
      <c r="J1750" s="156">
        <v>0</v>
      </c>
    </row>
    <row r="1751" spans="1:10" ht="26.25" hidden="1" thickBot="1" x14ac:dyDescent="0.3">
      <c r="A1751" s="222"/>
      <c r="B1751" s="225"/>
      <c r="C1751" s="36" t="s">
        <v>604</v>
      </c>
      <c r="D1751" s="36" t="s">
        <v>150</v>
      </c>
      <c r="E1751" s="37">
        <v>1</v>
      </c>
      <c r="F1751" s="34" t="s">
        <v>572</v>
      </c>
      <c r="G1751" s="31" t="str">
        <f t="shared" si="29"/>
        <v/>
      </c>
      <c r="H1751" s="39">
        <f>SUM(G1751:G1758)</f>
        <v>12.226967399999999</v>
      </c>
      <c r="I1751" s="40"/>
      <c r="J1751" s="156">
        <v>0</v>
      </c>
    </row>
    <row r="1752" spans="1:10" ht="26.25" hidden="1" thickBot="1" x14ac:dyDescent="0.3">
      <c r="A1752" s="222"/>
      <c r="B1752" s="225"/>
      <c r="C1752" s="36" t="s">
        <v>601</v>
      </c>
      <c r="D1752" s="36" t="s">
        <v>150</v>
      </c>
      <c r="E1752" s="37">
        <v>1</v>
      </c>
      <c r="F1752" s="34" t="s">
        <v>572</v>
      </c>
      <c r="G1752" s="31" t="str">
        <f t="shared" si="29"/>
        <v/>
      </c>
      <c r="H1752" s="45"/>
      <c r="I1752" s="46"/>
      <c r="J1752" s="156">
        <v>0</v>
      </c>
    </row>
    <row r="1753" spans="1:10" ht="26.25" hidden="1" thickBot="1" x14ac:dyDescent="0.3">
      <c r="A1753" s="222"/>
      <c r="B1753" s="225"/>
      <c r="C1753" s="36" t="s">
        <v>602</v>
      </c>
      <c r="D1753" s="36" t="s">
        <v>150</v>
      </c>
      <c r="E1753" s="37">
        <v>2</v>
      </c>
      <c r="F1753" s="34" t="s">
        <v>572</v>
      </c>
      <c r="G1753" s="31" t="str">
        <f t="shared" si="29"/>
        <v/>
      </c>
      <c r="H1753" s="45"/>
      <c r="I1753" s="46"/>
      <c r="J1753" s="156">
        <v>0</v>
      </c>
    </row>
    <row r="1754" spans="1:10" ht="26.25" hidden="1" thickBot="1" x14ac:dyDescent="0.3">
      <c r="A1754" s="222"/>
      <c r="B1754" s="225"/>
      <c r="C1754" s="36" t="s">
        <v>590</v>
      </c>
      <c r="D1754" s="36" t="s">
        <v>94</v>
      </c>
      <c r="E1754" s="37">
        <v>1.5</v>
      </c>
      <c r="F1754" s="34" t="s">
        <v>572</v>
      </c>
      <c r="G1754" s="31" t="str">
        <f t="shared" si="29"/>
        <v/>
      </c>
      <c r="H1754" s="35"/>
      <c r="I1754" s="31"/>
      <c r="J1754" s="156">
        <v>0</v>
      </c>
    </row>
    <row r="1755" spans="1:10" ht="15.75" hidden="1" thickBot="1" x14ac:dyDescent="0.3">
      <c r="A1755" s="222"/>
      <c r="B1755" s="225"/>
      <c r="C1755" s="36" t="s">
        <v>591</v>
      </c>
      <c r="D1755" s="36" t="s">
        <v>150</v>
      </c>
      <c r="E1755" s="37">
        <v>1</v>
      </c>
      <c r="F1755" s="34" t="s">
        <v>572</v>
      </c>
      <c r="G1755" s="31" t="str">
        <f t="shared" si="29"/>
        <v/>
      </c>
      <c r="H1755" s="35"/>
      <c r="I1755" s="31"/>
      <c r="J1755" s="156">
        <v>0</v>
      </c>
    </row>
    <row r="1756" spans="1:10" ht="15.75" hidden="1" thickBot="1" x14ac:dyDescent="0.3">
      <c r="A1756" s="222"/>
      <c r="B1756" s="225"/>
      <c r="C1756" s="36" t="s">
        <v>592</v>
      </c>
      <c r="D1756" s="36" t="s">
        <v>150</v>
      </c>
      <c r="E1756" s="37">
        <v>1</v>
      </c>
      <c r="F1756" s="34" t="s">
        <v>572</v>
      </c>
      <c r="G1756" s="31" t="str">
        <f t="shared" si="29"/>
        <v/>
      </c>
      <c r="H1756" s="35"/>
      <c r="I1756" s="31"/>
      <c r="J1756" s="156">
        <v>0</v>
      </c>
    </row>
    <row r="1757" spans="1:10" ht="15.75" hidden="1" thickBot="1" x14ac:dyDescent="0.3">
      <c r="A1757" s="222"/>
      <c r="B1757" s="225"/>
      <c r="C1757" s="36" t="s">
        <v>74</v>
      </c>
      <c r="D1757" s="36" t="s">
        <v>12</v>
      </c>
      <c r="E1757" s="37">
        <v>0.17269999999999999</v>
      </c>
      <c r="F1757" s="31">
        <v>17.366</v>
      </c>
      <c r="G1757" s="31">
        <f t="shared" si="29"/>
        <v>2.9991081999999998</v>
      </c>
      <c r="H1757" s="35"/>
      <c r="I1757" s="31"/>
      <c r="J1757" s="156">
        <v>0</v>
      </c>
    </row>
    <row r="1758" spans="1:10" ht="15.75" hidden="1" thickBot="1" x14ac:dyDescent="0.3">
      <c r="A1758" s="222"/>
      <c r="B1758" s="225"/>
      <c r="C1758" s="36" t="s">
        <v>30</v>
      </c>
      <c r="D1758" s="36" t="s">
        <v>12</v>
      </c>
      <c r="E1758" s="37">
        <v>0.41439999999999999</v>
      </c>
      <c r="F1758" s="31">
        <v>22.268000000000001</v>
      </c>
      <c r="G1758" s="31">
        <f t="shared" si="29"/>
        <v>9.2278591999999993</v>
      </c>
      <c r="H1758" s="35"/>
      <c r="I1758" s="31"/>
      <c r="J1758" s="156">
        <v>0</v>
      </c>
    </row>
    <row r="1759" spans="1:10" ht="15.75" hidden="1" thickBot="1" x14ac:dyDescent="0.3">
      <c r="A1759" s="223"/>
      <c r="B1759" s="226"/>
      <c r="C1759" s="36"/>
      <c r="D1759" s="36"/>
      <c r="E1759" s="37"/>
      <c r="F1759" s="31" t="s">
        <v>572</v>
      </c>
      <c r="G1759" s="31" t="str">
        <f t="shared" si="29"/>
        <v/>
      </c>
      <c r="H1759" s="35"/>
      <c r="I1759" s="31"/>
      <c r="J1759" s="156">
        <v>0</v>
      </c>
    </row>
    <row r="1760" spans="1:10" ht="15.75" hidden="1" thickBot="1" x14ac:dyDescent="0.3">
      <c r="A1760" s="221" t="s">
        <v>605</v>
      </c>
      <c r="B1760" s="224" t="str">
        <f>INDEX(Orçamentária!A:B,MATCH(Composições!A1760,Orçamentária!A:A,0),2)</f>
        <v>Condutor 10mm²</v>
      </c>
      <c r="C1760" s="41"/>
      <c r="D1760" s="26" t="str">
        <f>TRIM(INDEX(Orçamentária!C:C,MATCH(Composições!A1760,Orçamentária!A:A,0),1))</f>
        <v>m</v>
      </c>
      <c r="E1760" s="27"/>
      <c r="F1760" s="42" t="s">
        <v>572</v>
      </c>
      <c r="G1760" s="28" t="str">
        <f t="shared" si="29"/>
        <v/>
      </c>
      <c r="H1760" s="29"/>
      <c r="I1760" s="30"/>
      <c r="J1760" s="156">
        <v>0</v>
      </c>
    </row>
    <row r="1761" spans="1:10" ht="15.75" hidden="1" thickBot="1" x14ac:dyDescent="0.3">
      <c r="A1761" s="222"/>
      <c r="B1761" s="225"/>
      <c r="C1761" s="32"/>
      <c r="D1761" s="32"/>
      <c r="E1761" s="33"/>
      <c r="F1761" s="43" t="s">
        <v>572</v>
      </c>
      <c r="G1761" s="31" t="str">
        <f t="shared" si="29"/>
        <v/>
      </c>
      <c r="H1761" s="35"/>
      <c r="I1761" s="31"/>
      <c r="J1761" s="156">
        <v>0</v>
      </c>
    </row>
    <row r="1762" spans="1:10" ht="15.75" hidden="1" thickBot="1" x14ac:dyDescent="0.3">
      <c r="A1762" s="222"/>
      <c r="B1762" s="225"/>
      <c r="C1762" s="36" t="s">
        <v>74</v>
      </c>
      <c r="D1762" s="36" t="s">
        <v>12</v>
      </c>
      <c r="E1762" s="37">
        <v>8.9999999999999993E-3</v>
      </c>
      <c r="F1762" s="31">
        <v>17.366</v>
      </c>
      <c r="G1762" s="34">
        <f t="shared" si="29"/>
        <v>0.15629399999999999</v>
      </c>
      <c r="H1762" s="39">
        <f>SUM(G1762:G1765)</f>
        <v>0.38967099999999999</v>
      </c>
      <c r="I1762" s="40"/>
      <c r="J1762" s="156">
        <v>0</v>
      </c>
    </row>
    <row r="1763" spans="1:10" ht="15.75" hidden="1" thickBot="1" x14ac:dyDescent="0.3">
      <c r="A1763" s="222"/>
      <c r="B1763" s="225"/>
      <c r="C1763" s="36" t="s">
        <v>30</v>
      </c>
      <c r="D1763" s="36" t="s">
        <v>12</v>
      </c>
      <c r="E1763" s="37">
        <v>8.9999999999999993E-3</v>
      </c>
      <c r="F1763" s="31">
        <v>22.268000000000001</v>
      </c>
      <c r="G1763" s="34">
        <f t="shared" si="29"/>
        <v>0.20041199999999998</v>
      </c>
      <c r="H1763" s="35"/>
      <c r="I1763" s="31"/>
      <c r="J1763" s="156">
        <v>0</v>
      </c>
    </row>
    <row r="1764" spans="1:10" ht="15.75" hidden="1" thickBot="1" x14ac:dyDescent="0.3">
      <c r="A1764" s="222"/>
      <c r="B1764" s="225"/>
      <c r="C1764" s="36" t="s">
        <v>606</v>
      </c>
      <c r="D1764" s="36" t="s">
        <v>94</v>
      </c>
      <c r="E1764" s="37">
        <v>1.0269999999999999</v>
      </c>
      <c r="F1764" s="34">
        <v>0</v>
      </c>
      <c r="G1764" s="34">
        <f t="shared" si="29"/>
        <v>0</v>
      </c>
      <c r="H1764" s="35"/>
      <c r="I1764" s="31"/>
      <c r="J1764" s="156">
        <v>0</v>
      </c>
    </row>
    <row r="1765" spans="1:10" ht="15.75" hidden="1" thickBot="1" x14ac:dyDescent="0.3">
      <c r="A1765" s="222"/>
      <c r="B1765" s="225"/>
      <c r="C1765" s="36" t="s">
        <v>607</v>
      </c>
      <c r="D1765" s="36" t="s">
        <v>20</v>
      </c>
      <c r="E1765" s="37">
        <v>0.01</v>
      </c>
      <c r="F1765" s="34">
        <v>3.2965</v>
      </c>
      <c r="G1765" s="34">
        <f t="shared" si="29"/>
        <v>3.2965000000000001E-2</v>
      </c>
      <c r="H1765" s="35"/>
      <c r="I1765" s="31"/>
      <c r="J1765" s="156">
        <v>0</v>
      </c>
    </row>
    <row r="1766" spans="1:10" ht="15.75" hidden="1" thickBot="1" x14ac:dyDescent="0.3">
      <c r="A1766" s="223"/>
      <c r="B1766" s="226"/>
      <c r="C1766" s="36"/>
      <c r="D1766" s="36"/>
      <c r="E1766" s="37"/>
      <c r="F1766" s="31" t="s">
        <v>572</v>
      </c>
      <c r="G1766" s="31" t="str">
        <f t="shared" si="29"/>
        <v/>
      </c>
      <c r="H1766" s="35"/>
      <c r="I1766" s="31"/>
      <c r="J1766" s="156">
        <v>0</v>
      </c>
    </row>
    <row r="1767" spans="1:10" ht="15.75" hidden="1" thickBot="1" x14ac:dyDescent="0.3">
      <c r="A1767" s="221" t="s">
        <v>608</v>
      </c>
      <c r="B1767" s="224" t="str">
        <f>INDEX(Orçamentária!A:B,MATCH(Composições!A1767,Orçamentária!A:A,0),2)</f>
        <v>Condutor 16mm²</v>
      </c>
      <c r="C1767" s="41"/>
      <c r="D1767" s="26" t="str">
        <f>TRIM(INDEX(Orçamentária!C:C,MATCH(Composições!A1767,Orçamentária!A:A,0),1))</f>
        <v>m</v>
      </c>
      <c r="E1767" s="27"/>
      <c r="F1767" s="42" t="s">
        <v>572</v>
      </c>
      <c r="G1767" s="28" t="str">
        <f t="shared" si="29"/>
        <v/>
      </c>
      <c r="H1767" s="29"/>
      <c r="I1767" s="30"/>
      <c r="J1767" s="156">
        <v>0</v>
      </c>
    </row>
    <row r="1768" spans="1:10" ht="15.75" hidden="1" thickBot="1" x14ac:dyDescent="0.3">
      <c r="A1768" s="222"/>
      <c r="B1768" s="225"/>
      <c r="C1768" s="32"/>
      <c r="D1768" s="32"/>
      <c r="E1768" s="33"/>
      <c r="F1768" s="43" t="s">
        <v>572</v>
      </c>
      <c r="G1768" s="31" t="str">
        <f t="shared" si="29"/>
        <v/>
      </c>
      <c r="H1768" s="35"/>
      <c r="I1768" s="31"/>
      <c r="J1768" s="156">
        <v>0</v>
      </c>
    </row>
    <row r="1769" spans="1:10" ht="15.75" hidden="1" thickBot="1" x14ac:dyDescent="0.3">
      <c r="A1769" s="222"/>
      <c r="B1769" s="225"/>
      <c r="C1769" s="36" t="s">
        <v>74</v>
      </c>
      <c r="D1769" s="36" t="s">
        <v>12</v>
      </c>
      <c r="E1769" s="37">
        <v>1.2999999999999999E-2</v>
      </c>
      <c r="F1769" s="31">
        <v>17.366</v>
      </c>
      <c r="G1769" s="34">
        <f t="shared" si="29"/>
        <v>0.22575799999999999</v>
      </c>
      <c r="H1769" s="39">
        <f>SUM(G1769:G1772)</f>
        <v>0.548207</v>
      </c>
      <c r="I1769" s="40"/>
      <c r="J1769" s="156">
        <v>0</v>
      </c>
    </row>
    <row r="1770" spans="1:10" ht="15.75" hidden="1" thickBot="1" x14ac:dyDescent="0.3">
      <c r="A1770" s="222"/>
      <c r="B1770" s="225"/>
      <c r="C1770" s="36" t="s">
        <v>30</v>
      </c>
      <c r="D1770" s="36" t="s">
        <v>12</v>
      </c>
      <c r="E1770" s="37">
        <v>1.2999999999999999E-2</v>
      </c>
      <c r="F1770" s="31">
        <v>22.268000000000001</v>
      </c>
      <c r="G1770" s="34">
        <f t="shared" si="29"/>
        <v>0.28948400000000002</v>
      </c>
      <c r="H1770" s="35"/>
      <c r="I1770" s="31"/>
      <c r="J1770" s="156">
        <v>0</v>
      </c>
    </row>
    <row r="1771" spans="1:10" ht="15.75" hidden="1" thickBot="1" x14ac:dyDescent="0.3">
      <c r="A1771" s="222"/>
      <c r="B1771" s="225"/>
      <c r="C1771" s="36" t="s">
        <v>609</v>
      </c>
      <c r="D1771" s="36" t="s">
        <v>94</v>
      </c>
      <c r="E1771" s="37">
        <v>1.0269999999999999</v>
      </c>
      <c r="F1771" s="34">
        <v>0</v>
      </c>
      <c r="G1771" s="34">
        <f t="shared" si="29"/>
        <v>0</v>
      </c>
      <c r="H1771" s="35"/>
      <c r="I1771" s="31"/>
      <c r="J1771" s="156">
        <v>0</v>
      </c>
    </row>
    <row r="1772" spans="1:10" ht="15.75" hidden="1" thickBot="1" x14ac:dyDescent="0.3">
      <c r="A1772" s="222"/>
      <c r="B1772" s="225"/>
      <c r="C1772" s="36" t="s">
        <v>607</v>
      </c>
      <c r="D1772" s="36" t="s">
        <v>20</v>
      </c>
      <c r="E1772" s="37">
        <v>0.01</v>
      </c>
      <c r="F1772" s="34">
        <v>3.2965</v>
      </c>
      <c r="G1772" s="34">
        <f t="shared" si="29"/>
        <v>3.2965000000000001E-2</v>
      </c>
      <c r="H1772" s="35"/>
      <c r="I1772" s="31"/>
      <c r="J1772" s="156">
        <v>0</v>
      </c>
    </row>
    <row r="1773" spans="1:10" ht="15.75" hidden="1" thickBot="1" x14ac:dyDescent="0.3">
      <c r="A1773" s="223"/>
      <c r="B1773" s="226"/>
      <c r="C1773" s="36"/>
      <c r="D1773" s="36"/>
      <c r="E1773" s="37"/>
      <c r="F1773" s="31" t="s">
        <v>572</v>
      </c>
      <c r="G1773" s="31" t="str">
        <f t="shared" si="29"/>
        <v/>
      </c>
      <c r="H1773" s="35"/>
      <c r="I1773" s="31"/>
      <c r="J1773" s="156">
        <v>0</v>
      </c>
    </row>
    <row r="1774" spans="1:10" ht="15.75" hidden="1" thickBot="1" x14ac:dyDescent="0.3">
      <c r="A1774" s="221" t="s">
        <v>610</v>
      </c>
      <c r="B1774" s="224" t="str">
        <f>INDEX(Orçamentária!A:B,MATCH(Composições!A1774,Orçamentária!A:A,0),2)</f>
        <v>Condutor 2,5 mm²</v>
      </c>
      <c r="C1774" s="41"/>
      <c r="D1774" s="26" t="str">
        <f>TRIM(INDEX(Orçamentária!C:C,MATCH(Composições!A1774,Orçamentária!A:A,0),1))</f>
        <v>m</v>
      </c>
      <c r="E1774" s="27"/>
      <c r="F1774" s="42" t="s">
        <v>572</v>
      </c>
      <c r="G1774" s="28" t="str">
        <f t="shared" si="29"/>
        <v/>
      </c>
      <c r="H1774" s="29"/>
      <c r="I1774" s="30"/>
      <c r="J1774" s="156">
        <v>0</v>
      </c>
    </row>
    <row r="1775" spans="1:10" ht="15.75" hidden="1" thickBot="1" x14ac:dyDescent="0.3">
      <c r="A1775" s="222"/>
      <c r="B1775" s="225"/>
      <c r="C1775" s="32"/>
      <c r="D1775" s="32"/>
      <c r="E1775" s="33"/>
      <c r="F1775" s="43" t="s">
        <v>572</v>
      </c>
      <c r="G1775" s="31" t="str">
        <f t="shared" si="29"/>
        <v/>
      </c>
      <c r="H1775" s="35"/>
      <c r="I1775" s="31"/>
      <c r="J1775" s="156">
        <v>0</v>
      </c>
    </row>
    <row r="1776" spans="1:10" ht="15.75" hidden="1" thickBot="1" x14ac:dyDescent="0.3">
      <c r="A1776" s="222"/>
      <c r="B1776" s="225"/>
      <c r="C1776" s="36" t="s">
        <v>74</v>
      </c>
      <c r="D1776" s="36" t="s">
        <v>12</v>
      </c>
      <c r="E1776" s="37">
        <v>0.03</v>
      </c>
      <c r="F1776" s="31">
        <v>17.366</v>
      </c>
      <c r="G1776" s="34">
        <f t="shared" si="29"/>
        <v>0.52098</v>
      </c>
      <c r="H1776" s="39">
        <f>SUM(G1776:G1779)</f>
        <v>1.2186885000000001</v>
      </c>
      <c r="I1776" s="40"/>
      <c r="J1776" s="156">
        <v>0</v>
      </c>
    </row>
    <row r="1777" spans="1:10" ht="15.75" hidden="1" thickBot="1" x14ac:dyDescent="0.3">
      <c r="A1777" s="222"/>
      <c r="B1777" s="225"/>
      <c r="C1777" s="36" t="s">
        <v>30</v>
      </c>
      <c r="D1777" s="36" t="s">
        <v>12</v>
      </c>
      <c r="E1777" s="37">
        <v>0.03</v>
      </c>
      <c r="F1777" s="31">
        <v>22.268000000000001</v>
      </c>
      <c r="G1777" s="34">
        <f t="shared" si="29"/>
        <v>0.66803999999999997</v>
      </c>
      <c r="H1777" s="35"/>
      <c r="I1777" s="31"/>
      <c r="J1777" s="156">
        <v>0</v>
      </c>
    </row>
    <row r="1778" spans="1:10" ht="26.25" hidden="1" thickBot="1" x14ac:dyDescent="0.3">
      <c r="A1778" s="222"/>
      <c r="B1778" s="225"/>
      <c r="C1778" s="36" t="s">
        <v>611</v>
      </c>
      <c r="D1778" s="36" t="s">
        <v>94</v>
      </c>
      <c r="E1778" s="37">
        <v>1.19</v>
      </c>
      <c r="F1778" s="34" t="s">
        <v>572</v>
      </c>
      <c r="G1778" s="34" t="str">
        <f t="shared" si="29"/>
        <v/>
      </c>
      <c r="H1778" s="35"/>
      <c r="I1778" s="31"/>
      <c r="J1778" s="156">
        <v>0</v>
      </c>
    </row>
    <row r="1779" spans="1:10" ht="15.75" hidden="1" thickBot="1" x14ac:dyDescent="0.3">
      <c r="A1779" s="222"/>
      <c r="B1779" s="225"/>
      <c r="C1779" s="36" t="s">
        <v>607</v>
      </c>
      <c r="D1779" s="36" t="s">
        <v>20</v>
      </c>
      <c r="E1779" s="37">
        <v>8.9999999999999993E-3</v>
      </c>
      <c r="F1779" s="34">
        <v>3.2965</v>
      </c>
      <c r="G1779" s="34">
        <f t="shared" si="29"/>
        <v>2.9668499999999997E-2</v>
      </c>
      <c r="H1779" s="35"/>
      <c r="I1779" s="31"/>
      <c r="J1779" s="156">
        <v>0</v>
      </c>
    </row>
    <row r="1780" spans="1:10" ht="15.75" hidden="1" thickBot="1" x14ac:dyDescent="0.3">
      <c r="A1780" s="223"/>
      <c r="B1780" s="226"/>
      <c r="C1780" s="36"/>
      <c r="D1780" s="36"/>
      <c r="E1780" s="37"/>
      <c r="F1780" s="31" t="s">
        <v>572</v>
      </c>
      <c r="G1780" s="31" t="str">
        <f t="shared" si="29"/>
        <v/>
      </c>
      <c r="H1780" s="35"/>
      <c r="I1780" s="31"/>
      <c r="J1780" s="156">
        <v>0</v>
      </c>
    </row>
    <row r="1781" spans="1:10" ht="15.75" hidden="1" thickBot="1" x14ac:dyDescent="0.3">
      <c r="A1781" s="221" t="s">
        <v>612</v>
      </c>
      <c r="B1781" s="224" t="str">
        <f>INDEX(Orçamentária!A:B,MATCH(Composições!A1781,Orçamentária!A:A,0),2)</f>
        <v>Condutor 3x2,5 mm²</v>
      </c>
      <c r="C1781" s="41"/>
      <c r="D1781" s="26" t="str">
        <f>TRIM(INDEX(Orçamentária!C:C,MATCH(Composições!A1781,Orçamentária!A:A,0),1))</f>
        <v>m</v>
      </c>
      <c r="E1781" s="27"/>
      <c r="F1781" s="42" t="s">
        <v>572</v>
      </c>
      <c r="G1781" s="28" t="str">
        <f t="shared" si="29"/>
        <v/>
      </c>
      <c r="H1781" s="29"/>
      <c r="I1781" s="30"/>
      <c r="J1781" s="156">
        <v>0</v>
      </c>
    </row>
    <row r="1782" spans="1:10" ht="15.75" hidden="1" thickBot="1" x14ac:dyDescent="0.3">
      <c r="A1782" s="222"/>
      <c r="B1782" s="225"/>
      <c r="C1782" s="32"/>
      <c r="D1782" s="32"/>
      <c r="E1782" s="33"/>
      <c r="F1782" s="43" t="s">
        <v>572</v>
      </c>
      <c r="G1782" s="31" t="str">
        <f t="shared" si="29"/>
        <v/>
      </c>
      <c r="H1782" s="35"/>
      <c r="I1782" s="31"/>
      <c r="J1782" s="156">
        <v>0</v>
      </c>
    </row>
    <row r="1783" spans="1:10" ht="15.75" hidden="1" thickBot="1" x14ac:dyDescent="0.3">
      <c r="A1783" s="222"/>
      <c r="B1783" s="225"/>
      <c r="C1783" s="36" t="s">
        <v>74</v>
      </c>
      <c r="D1783" s="36" t="s">
        <v>12</v>
      </c>
      <c r="E1783" s="37">
        <v>5.1999999999999998E-2</v>
      </c>
      <c r="F1783" s="31">
        <v>17.366</v>
      </c>
      <c r="G1783" s="34">
        <f t="shared" si="29"/>
        <v>0.90303199999999995</v>
      </c>
      <c r="H1783" s="39">
        <f>SUM(G1783:G1786)</f>
        <v>2.0906365</v>
      </c>
      <c r="I1783" s="40"/>
      <c r="J1783" s="156">
        <v>0</v>
      </c>
    </row>
    <row r="1784" spans="1:10" ht="15.75" hidden="1" thickBot="1" x14ac:dyDescent="0.3">
      <c r="A1784" s="222"/>
      <c r="B1784" s="225"/>
      <c r="C1784" s="36" t="s">
        <v>30</v>
      </c>
      <c r="D1784" s="36" t="s">
        <v>12</v>
      </c>
      <c r="E1784" s="37">
        <v>5.1999999999999998E-2</v>
      </c>
      <c r="F1784" s="31">
        <v>22.268000000000001</v>
      </c>
      <c r="G1784" s="34">
        <f t="shared" si="29"/>
        <v>1.1579360000000001</v>
      </c>
      <c r="H1784" s="35"/>
      <c r="I1784" s="31"/>
      <c r="J1784" s="156">
        <v>0</v>
      </c>
    </row>
    <row r="1785" spans="1:10" ht="26.25" hidden="1" thickBot="1" x14ac:dyDescent="0.3">
      <c r="A1785" s="222"/>
      <c r="B1785" s="225"/>
      <c r="C1785" s="36" t="s">
        <v>613</v>
      </c>
      <c r="D1785" s="36" t="s">
        <v>94</v>
      </c>
      <c r="E1785" s="37">
        <v>1.19</v>
      </c>
      <c r="F1785" s="34" t="s">
        <v>572</v>
      </c>
      <c r="G1785" s="34" t="str">
        <f t="shared" si="29"/>
        <v/>
      </c>
      <c r="H1785" s="35"/>
      <c r="I1785" s="31"/>
      <c r="J1785" s="156">
        <v>0</v>
      </c>
    </row>
    <row r="1786" spans="1:10" ht="15.75" hidden="1" thickBot="1" x14ac:dyDescent="0.3">
      <c r="A1786" s="222"/>
      <c r="B1786" s="225"/>
      <c r="C1786" s="36" t="s">
        <v>607</v>
      </c>
      <c r="D1786" s="36" t="s">
        <v>20</v>
      </c>
      <c r="E1786" s="37">
        <v>8.9999999999999993E-3</v>
      </c>
      <c r="F1786" s="34">
        <v>3.2965</v>
      </c>
      <c r="G1786" s="34">
        <f t="shared" si="29"/>
        <v>2.9668499999999997E-2</v>
      </c>
      <c r="H1786" s="35"/>
      <c r="I1786" s="31"/>
      <c r="J1786" s="156">
        <v>0</v>
      </c>
    </row>
    <row r="1787" spans="1:10" ht="15.75" hidden="1" thickBot="1" x14ac:dyDescent="0.3">
      <c r="A1787" s="223"/>
      <c r="B1787" s="226"/>
      <c r="C1787" s="36"/>
      <c r="D1787" s="36"/>
      <c r="E1787" s="37"/>
      <c r="F1787" s="31" t="s">
        <v>572</v>
      </c>
      <c r="G1787" s="31" t="str">
        <f t="shared" si="29"/>
        <v/>
      </c>
      <c r="H1787" s="35"/>
      <c r="I1787" s="31"/>
      <c r="J1787" s="156">
        <v>0</v>
      </c>
    </row>
    <row r="1788" spans="1:10" ht="15.75" hidden="1" thickBot="1" x14ac:dyDescent="0.3">
      <c r="A1788" s="221" t="s">
        <v>614</v>
      </c>
      <c r="B1788" s="224" t="str">
        <f>INDEX(Orçamentária!A:B,MATCH(Composições!A1788,Orçamentária!A:A,0),2)</f>
        <v>Condutor 4 mm²</v>
      </c>
      <c r="C1788" s="41"/>
      <c r="D1788" s="26" t="str">
        <f>TRIM(INDEX(Orçamentária!C:C,MATCH(Composições!A1788,Orçamentária!A:A,0),1))</f>
        <v>m</v>
      </c>
      <c r="E1788" s="27"/>
      <c r="F1788" s="42" t="s">
        <v>572</v>
      </c>
      <c r="G1788" s="28" t="str">
        <f t="shared" si="29"/>
        <v/>
      </c>
      <c r="H1788" s="29"/>
      <c r="I1788" s="30"/>
      <c r="J1788" s="156">
        <v>0</v>
      </c>
    </row>
    <row r="1789" spans="1:10" ht="15.75" hidden="1" thickBot="1" x14ac:dyDescent="0.3">
      <c r="A1789" s="222"/>
      <c r="B1789" s="225"/>
      <c r="C1789" s="32"/>
      <c r="D1789" s="32"/>
      <c r="E1789" s="33"/>
      <c r="F1789" s="43" t="s">
        <v>572</v>
      </c>
      <c r="G1789" s="31" t="str">
        <f t="shared" si="29"/>
        <v/>
      </c>
      <c r="H1789" s="35"/>
      <c r="I1789" s="31"/>
      <c r="J1789" s="156">
        <v>0</v>
      </c>
    </row>
    <row r="1790" spans="1:10" ht="15.75" hidden="1" thickBot="1" x14ac:dyDescent="0.3">
      <c r="A1790" s="222"/>
      <c r="B1790" s="225"/>
      <c r="C1790" s="36" t="s">
        <v>74</v>
      </c>
      <c r="D1790" s="36" t="s">
        <v>12</v>
      </c>
      <c r="E1790" s="37">
        <v>0.04</v>
      </c>
      <c r="F1790" s="31">
        <v>17.366</v>
      </c>
      <c r="G1790" s="34">
        <f t="shared" si="29"/>
        <v>0.69464000000000004</v>
      </c>
      <c r="H1790" s="39">
        <f>SUM(G1790:G1793)</f>
        <v>1.6150285000000002</v>
      </c>
      <c r="I1790" s="40"/>
      <c r="J1790" s="156">
        <v>0</v>
      </c>
    </row>
    <row r="1791" spans="1:10" ht="15.75" hidden="1" thickBot="1" x14ac:dyDescent="0.3">
      <c r="A1791" s="222"/>
      <c r="B1791" s="225"/>
      <c r="C1791" s="36" t="s">
        <v>30</v>
      </c>
      <c r="D1791" s="36" t="s">
        <v>12</v>
      </c>
      <c r="E1791" s="37">
        <v>0.04</v>
      </c>
      <c r="F1791" s="31">
        <v>22.268000000000001</v>
      </c>
      <c r="G1791" s="34">
        <f t="shared" si="29"/>
        <v>0.89072000000000007</v>
      </c>
      <c r="H1791" s="35"/>
      <c r="I1791" s="31"/>
      <c r="J1791" s="156">
        <v>0</v>
      </c>
    </row>
    <row r="1792" spans="1:10" ht="26.25" hidden="1" thickBot="1" x14ac:dyDescent="0.3">
      <c r="A1792" s="222"/>
      <c r="B1792" s="225"/>
      <c r="C1792" s="36" t="s">
        <v>615</v>
      </c>
      <c r="D1792" s="36" t="s">
        <v>94</v>
      </c>
      <c r="E1792" s="37">
        <v>1.19</v>
      </c>
      <c r="F1792" s="34" t="s">
        <v>572</v>
      </c>
      <c r="G1792" s="34" t="str">
        <f t="shared" si="29"/>
        <v/>
      </c>
      <c r="H1792" s="35"/>
      <c r="I1792" s="31"/>
      <c r="J1792" s="156">
        <v>0</v>
      </c>
    </row>
    <row r="1793" spans="1:10" ht="15.75" hidden="1" thickBot="1" x14ac:dyDescent="0.3">
      <c r="A1793" s="222"/>
      <c r="B1793" s="225"/>
      <c r="C1793" s="36" t="s">
        <v>607</v>
      </c>
      <c r="D1793" s="36" t="s">
        <v>20</v>
      </c>
      <c r="E1793" s="37">
        <v>8.9999999999999993E-3</v>
      </c>
      <c r="F1793" s="34">
        <v>3.2965</v>
      </c>
      <c r="G1793" s="34">
        <f t="shared" si="29"/>
        <v>2.9668499999999997E-2</v>
      </c>
      <c r="H1793" s="35"/>
      <c r="I1793" s="31"/>
      <c r="J1793" s="156">
        <v>0</v>
      </c>
    </row>
    <row r="1794" spans="1:10" ht="15.75" hidden="1" thickBot="1" x14ac:dyDescent="0.3">
      <c r="A1794" s="223"/>
      <c r="B1794" s="226"/>
      <c r="C1794" s="36"/>
      <c r="D1794" s="36"/>
      <c r="E1794" s="37"/>
      <c r="F1794" s="31" t="s">
        <v>572</v>
      </c>
      <c r="G1794" s="31" t="str">
        <f t="shared" si="29"/>
        <v/>
      </c>
      <c r="H1794" s="35"/>
      <c r="I1794" s="31"/>
      <c r="J1794" s="156">
        <v>0</v>
      </c>
    </row>
    <row r="1795" spans="1:10" ht="15.75" hidden="1" thickBot="1" x14ac:dyDescent="0.3">
      <c r="A1795" s="221" t="s">
        <v>616</v>
      </c>
      <c r="B1795" s="224" t="str">
        <f>INDEX(Orçamentária!A:B,MATCH(Composições!A1795,Orçamentária!A:A,0),2)</f>
        <v>Condutor 4x2,5 mm²</v>
      </c>
      <c r="C1795" s="41"/>
      <c r="D1795" s="26" t="str">
        <f>TRIM(INDEX(Orçamentária!C:C,MATCH(Composições!A1795,Orçamentária!A:A,0),1))</f>
        <v>m</v>
      </c>
      <c r="E1795" s="27"/>
      <c r="F1795" s="42" t="s">
        <v>572</v>
      </c>
      <c r="G1795" s="28" t="str">
        <f t="shared" si="29"/>
        <v/>
      </c>
      <c r="H1795" s="29"/>
      <c r="I1795" s="30"/>
      <c r="J1795" s="156">
        <v>0</v>
      </c>
    </row>
    <row r="1796" spans="1:10" ht="15.75" hidden="1" thickBot="1" x14ac:dyDescent="0.3">
      <c r="A1796" s="222"/>
      <c r="B1796" s="225"/>
      <c r="C1796" s="32"/>
      <c r="D1796" s="32"/>
      <c r="E1796" s="33"/>
      <c r="F1796" s="43" t="s">
        <v>572</v>
      </c>
      <c r="G1796" s="31" t="str">
        <f t="shared" si="29"/>
        <v/>
      </c>
      <c r="H1796" s="35"/>
      <c r="I1796" s="31"/>
      <c r="J1796" s="156">
        <v>0</v>
      </c>
    </row>
    <row r="1797" spans="1:10" ht="15.75" hidden="1" thickBot="1" x14ac:dyDescent="0.3">
      <c r="A1797" s="222"/>
      <c r="B1797" s="225"/>
      <c r="C1797" s="36" t="s">
        <v>74</v>
      </c>
      <c r="D1797" s="36" t="s">
        <v>12</v>
      </c>
      <c r="E1797" s="37">
        <v>8.9999999999999993E-3</v>
      </c>
      <c r="F1797" s="31">
        <v>17.366</v>
      </c>
      <c r="G1797" s="34">
        <f t="shared" si="29"/>
        <v>0.15629399999999999</v>
      </c>
      <c r="H1797" s="39">
        <f>SUM(G1797:G1800)</f>
        <v>0.38967099999999999</v>
      </c>
      <c r="I1797" s="40"/>
      <c r="J1797" s="156">
        <v>0</v>
      </c>
    </row>
    <row r="1798" spans="1:10" ht="15.75" hidden="1" thickBot="1" x14ac:dyDescent="0.3">
      <c r="A1798" s="222"/>
      <c r="B1798" s="225"/>
      <c r="C1798" s="36" t="s">
        <v>30</v>
      </c>
      <c r="D1798" s="36" t="s">
        <v>12</v>
      </c>
      <c r="E1798" s="37">
        <v>8.9999999999999993E-3</v>
      </c>
      <c r="F1798" s="31">
        <v>22.268000000000001</v>
      </c>
      <c r="G1798" s="34">
        <f t="shared" si="29"/>
        <v>0.20041199999999998</v>
      </c>
      <c r="H1798" s="35"/>
      <c r="I1798" s="31"/>
      <c r="J1798" s="156">
        <v>0</v>
      </c>
    </row>
    <row r="1799" spans="1:10" ht="26.25" hidden="1" thickBot="1" x14ac:dyDescent="0.3">
      <c r="A1799" s="222"/>
      <c r="B1799" s="225"/>
      <c r="C1799" s="36" t="s">
        <v>617</v>
      </c>
      <c r="D1799" s="36" t="s">
        <v>94</v>
      </c>
      <c r="E1799" s="37">
        <v>1.0269999999999999</v>
      </c>
      <c r="F1799" s="34" t="s">
        <v>572</v>
      </c>
      <c r="G1799" s="34" t="str">
        <f t="shared" si="29"/>
        <v/>
      </c>
      <c r="H1799" s="35"/>
      <c r="I1799" s="31"/>
      <c r="J1799" s="156">
        <v>0</v>
      </c>
    </row>
    <row r="1800" spans="1:10" ht="15.75" hidden="1" thickBot="1" x14ac:dyDescent="0.3">
      <c r="A1800" s="222"/>
      <c r="B1800" s="225"/>
      <c r="C1800" s="36" t="s">
        <v>607</v>
      </c>
      <c r="D1800" s="36" t="s">
        <v>20</v>
      </c>
      <c r="E1800" s="37">
        <v>0.01</v>
      </c>
      <c r="F1800" s="34">
        <v>3.2965</v>
      </c>
      <c r="G1800" s="34">
        <f t="shared" si="29"/>
        <v>3.2965000000000001E-2</v>
      </c>
      <c r="H1800" s="35"/>
      <c r="I1800" s="31"/>
      <c r="J1800" s="156">
        <v>0</v>
      </c>
    </row>
    <row r="1801" spans="1:10" ht="15.75" hidden="1" thickBot="1" x14ac:dyDescent="0.3">
      <c r="A1801" s="223"/>
      <c r="B1801" s="226"/>
      <c r="C1801" s="36"/>
      <c r="D1801" s="36"/>
      <c r="E1801" s="37"/>
      <c r="F1801" s="31" t="s">
        <v>572</v>
      </c>
      <c r="G1801" s="31" t="str">
        <f t="shared" si="29"/>
        <v/>
      </c>
      <c r="H1801" s="35"/>
      <c r="I1801" s="31"/>
      <c r="J1801" s="156">
        <v>0</v>
      </c>
    </row>
    <row r="1802" spans="1:10" ht="15.75" hidden="1" thickBot="1" x14ac:dyDescent="0.3">
      <c r="A1802" s="221" t="s">
        <v>618</v>
      </c>
      <c r="B1802" s="224" t="str">
        <f>INDEX(Orçamentária!A:B,MATCH(Composições!A1802,Orçamentária!A:A,0),2)</f>
        <v>Condutor 6 mm²</v>
      </c>
      <c r="C1802" s="41"/>
      <c r="D1802" s="26" t="str">
        <f>TRIM(INDEX(Orçamentária!C:C,MATCH(Composições!A1802,Orçamentária!A:A,0),1))</f>
        <v>m</v>
      </c>
      <c r="E1802" s="27"/>
      <c r="F1802" s="42" t="s">
        <v>572</v>
      </c>
      <c r="G1802" s="28" t="str">
        <f t="shared" si="29"/>
        <v/>
      </c>
      <c r="H1802" s="29"/>
      <c r="I1802" s="30"/>
      <c r="J1802" s="156">
        <v>0</v>
      </c>
    </row>
    <row r="1803" spans="1:10" ht="15.75" hidden="1" thickBot="1" x14ac:dyDescent="0.3">
      <c r="A1803" s="222"/>
      <c r="B1803" s="225"/>
      <c r="C1803" s="32"/>
      <c r="D1803" s="32"/>
      <c r="E1803" s="33"/>
      <c r="F1803" s="43" t="s">
        <v>572</v>
      </c>
      <c r="G1803" s="31" t="str">
        <f t="shared" si="29"/>
        <v/>
      </c>
      <c r="H1803" s="35"/>
      <c r="I1803" s="31"/>
      <c r="J1803" s="156">
        <v>0</v>
      </c>
    </row>
    <row r="1804" spans="1:10" ht="15.75" hidden="1" thickBot="1" x14ac:dyDescent="0.3">
      <c r="A1804" s="222"/>
      <c r="B1804" s="225"/>
      <c r="C1804" s="36" t="s">
        <v>74</v>
      </c>
      <c r="D1804" s="36" t="s">
        <v>12</v>
      </c>
      <c r="E1804" s="37">
        <v>5.1999999999999998E-2</v>
      </c>
      <c r="F1804" s="31">
        <v>17.366</v>
      </c>
      <c r="G1804" s="31">
        <f t="shared" si="29"/>
        <v>0.90303199999999995</v>
      </c>
      <c r="H1804" s="39">
        <f>SUM(G1804:G1807)</f>
        <v>2.0906365</v>
      </c>
      <c r="I1804" s="40"/>
      <c r="J1804" s="156">
        <v>0</v>
      </c>
    </row>
    <row r="1805" spans="1:10" ht="15.75" hidden="1" thickBot="1" x14ac:dyDescent="0.3">
      <c r="A1805" s="222"/>
      <c r="B1805" s="225"/>
      <c r="C1805" s="36" t="s">
        <v>30</v>
      </c>
      <c r="D1805" s="36" t="s">
        <v>12</v>
      </c>
      <c r="E1805" s="37">
        <v>5.1999999999999998E-2</v>
      </c>
      <c r="F1805" s="31">
        <v>22.268000000000001</v>
      </c>
      <c r="G1805" s="31">
        <f t="shared" si="29"/>
        <v>1.1579360000000001</v>
      </c>
      <c r="H1805" s="35"/>
      <c r="I1805" s="31"/>
      <c r="J1805" s="156">
        <v>0</v>
      </c>
    </row>
    <row r="1806" spans="1:10" ht="26.25" hidden="1" thickBot="1" x14ac:dyDescent="0.3">
      <c r="A1806" s="222"/>
      <c r="B1806" s="225"/>
      <c r="C1806" s="36" t="s">
        <v>619</v>
      </c>
      <c r="D1806" s="36" t="s">
        <v>94</v>
      </c>
      <c r="E1806" s="37">
        <v>1.19</v>
      </c>
      <c r="F1806" s="34" t="s">
        <v>572</v>
      </c>
      <c r="G1806" s="31" t="str">
        <f t="shared" si="29"/>
        <v/>
      </c>
      <c r="H1806" s="35"/>
      <c r="I1806" s="31"/>
      <c r="J1806" s="156">
        <v>0</v>
      </c>
    </row>
    <row r="1807" spans="1:10" ht="15.75" hidden="1" thickBot="1" x14ac:dyDescent="0.3">
      <c r="A1807" s="222"/>
      <c r="B1807" s="225"/>
      <c r="C1807" s="36" t="s">
        <v>607</v>
      </c>
      <c r="D1807" s="36" t="s">
        <v>20</v>
      </c>
      <c r="E1807" s="37">
        <v>8.9999999999999993E-3</v>
      </c>
      <c r="F1807" s="34">
        <v>3.2965</v>
      </c>
      <c r="G1807" s="31">
        <f t="shared" si="29"/>
        <v>2.9668499999999997E-2</v>
      </c>
      <c r="H1807" s="35"/>
      <c r="I1807" s="31"/>
      <c r="J1807" s="156">
        <v>0</v>
      </c>
    </row>
    <row r="1808" spans="1:10" ht="15.75" hidden="1" thickBot="1" x14ac:dyDescent="0.3">
      <c r="A1808" s="223"/>
      <c r="B1808" s="226"/>
      <c r="C1808" s="36"/>
      <c r="D1808" s="36"/>
      <c r="E1808" s="37"/>
      <c r="F1808" s="31" t="s">
        <v>572</v>
      </c>
      <c r="G1808" s="31" t="str">
        <f t="shared" si="29"/>
        <v/>
      </c>
      <c r="H1808" s="35"/>
      <c r="I1808" s="31"/>
      <c r="J1808" s="156">
        <v>0</v>
      </c>
    </row>
    <row r="1809" spans="1:10" ht="15.75" hidden="1" thickBot="1" x14ac:dyDescent="0.3">
      <c r="A1809" s="221" t="s">
        <v>620</v>
      </c>
      <c r="B1809" s="224" t="str">
        <f>INDEX(Orçamentária!A:B,MATCH(Composições!A1809,Orçamentária!A:A,0),2)</f>
        <v>Quadro elétrico TTA</v>
      </c>
      <c r="C1809" s="41"/>
      <c r="D1809" s="26" t="str">
        <f>TRIM(INDEX(Orçamentária!C:C,MATCH(Composições!A1809,Orçamentária!A:A,0),1))</f>
        <v>un</v>
      </c>
      <c r="E1809" s="27"/>
      <c r="F1809" s="42" t="s">
        <v>572</v>
      </c>
      <c r="G1809" s="28" t="str">
        <f t="shared" si="29"/>
        <v/>
      </c>
      <c r="H1809" s="29"/>
      <c r="I1809" s="30"/>
      <c r="J1809" s="156">
        <v>0</v>
      </c>
    </row>
    <row r="1810" spans="1:10" ht="15.75" hidden="1" thickBot="1" x14ac:dyDescent="0.3">
      <c r="A1810" s="222"/>
      <c r="B1810" s="225"/>
      <c r="C1810" s="32"/>
      <c r="D1810" s="32"/>
      <c r="E1810" s="33"/>
      <c r="F1810" s="43" t="s">
        <v>572</v>
      </c>
      <c r="G1810" s="31" t="str">
        <f t="shared" si="29"/>
        <v/>
      </c>
      <c r="H1810" s="35"/>
      <c r="I1810" s="31"/>
      <c r="J1810" s="156">
        <v>0</v>
      </c>
    </row>
    <row r="1811" spans="1:10" ht="51.75" hidden="1" thickBot="1" x14ac:dyDescent="0.3">
      <c r="A1811" s="222"/>
      <c r="B1811" s="225"/>
      <c r="C1811" s="36" t="s">
        <v>621</v>
      </c>
      <c r="D1811" s="47" t="s">
        <v>20</v>
      </c>
      <c r="E1811" s="37">
        <v>1</v>
      </c>
      <c r="F1811" s="34" t="s">
        <v>572</v>
      </c>
      <c r="G1811" s="31" t="str">
        <f t="shared" si="29"/>
        <v/>
      </c>
      <c r="H1811" s="39">
        <f>SUM(G1811:G1814)</f>
        <v>35.889208636710407</v>
      </c>
      <c r="I1811" s="40"/>
      <c r="J1811" s="156">
        <v>0</v>
      </c>
    </row>
    <row r="1812" spans="1:10" ht="39" hidden="1" thickBot="1" x14ac:dyDescent="0.3">
      <c r="A1812" s="222"/>
      <c r="B1812" s="225"/>
      <c r="C1812" s="36" t="s">
        <v>3433</v>
      </c>
      <c r="D1812" s="47" t="s">
        <v>124</v>
      </c>
      <c r="E1812" s="37">
        <v>1.9199999999999998E-2</v>
      </c>
      <c r="F1812" s="31">
        <v>561.10118941200005</v>
      </c>
      <c r="G1812" s="31">
        <f t="shared" si="29"/>
        <v>10.773142836710401</v>
      </c>
      <c r="H1812" s="35"/>
      <c r="I1812" s="31"/>
      <c r="J1812" s="156">
        <v>0</v>
      </c>
    </row>
    <row r="1813" spans="1:10" ht="15.75" hidden="1" thickBot="1" x14ac:dyDescent="0.3">
      <c r="A1813" s="222"/>
      <c r="B1813" s="225"/>
      <c r="C1813" s="36" t="s">
        <v>74</v>
      </c>
      <c r="D1813" s="47" t="s">
        <v>12</v>
      </c>
      <c r="E1813" s="37">
        <v>0.63370000000000004</v>
      </c>
      <c r="F1813" s="31">
        <v>17.366</v>
      </c>
      <c r="G1813" s="31">
        <f t="shared" ref="G1813:G1876" si="30">IF(ISNUMBER(F1813),E1813*F1813,"")</f>
        <v>11.004834200000001</v>
      </c>
      <c r="H1813" s="35"/>
      <c r="I1813" s="31"/>
      <c r="J1813" s="156">
        <v>0</v>
      </c>
    </row>
    <row r="1814" spans="1:10" ht="15.75" hidden="1" thickBot="1" x14ac:dyDescent="0.3">
      <c r="A1814" s="222"/>
      <c r="B1814" s="225"/>
      <c r="C1814" s="36" t="s">
        <v>30</v>
      </c>
      <c r="D1814" s="47" t="s">
        <v>12</v>
      </c>
      <c r="E1814" s="37">
        <v>0.63370000000000004</v>
      </c>
      <c r="F1814" s="31">
        <v>22.268000000000001</v>
      </c>
      <c r="G1814" s="34">
        <f t="shared" si="30"/>
        <v>14.111231600000002</v>
      </c>
      <c r="H1814" s="35"/>
      <c r="I1814" s="31"/>
      <c r="J1814" s="156">
        <v>0</v>
      </c>
    </row>
    <row r="1815" spans="1:10" ht="15.75" hidden="1" thickBot="1" x14ac:dyDescent="0.3">
      <c r="A1815" s="222"/>
      <c r="B1815" s="226"/>
      <c r="C1815" s="36"/>
      <c r="D1815" s="36"/>
      <c r="E1815" s="37"/>
      <c r="F1815" s="31" t="s">
        <v>572</v>
      </c>
      <c r="G1815" s="31" t="str">
        <f t="shared" si="30"/>
        <v/>
      </c>
      <c r="H1815" s="35"/>
      <c r="I1815" s="31"/>
      <c r="J1815" s="156">
        <v>0</v>
      </c>
    </row>
    <row r="1816" spans="1:10" ht="15.75" hidden="1" thickBot="1" x14ac:dyDescent="0.3">
      <c r="A1816" s="221" t="s">
        <v>622</v>
      </c>
      <c r="B1816" s="224" t="str">
        <f>INDEX(Orçamentária!A:B,MATCH(Composições!A1816,Orçamentária!A:A,0),2)</f>
        <v>Instalação de fancolete reaproveitado</v>
      </c>
      <c r="C1816" s="41"/>
      <c r="D1816" s="26" t="str">
        <f>TRIM(INDEX(Orçamentária!C:C,MATCH(Composições!A1816,Orçamentária!A:A,0),1))</f>
        <v>un</v>
      </c>
      <c r="E1816" s="27"/>
      <c r="F1816" s="42" t="s">
        <v>572</v>
      </c>
      <c r="G1816" s="28" t="str">
        <f t="shared" si="30"/>
        <v/>
      </c>
      <c r="H1816" s="29"/>
      <c r="I1816" s="30"/>
      <c r="J1816" s="156">
        <v>0</v>
      </c>
    </row>
    <row r="1817" spans="1:10" ht="15.75" hidden="1" thickBot="1" x14ac:dyDescent="0.3">
      <c r="A1817" s="222"/>
      <c r="B1817" s="225"/>
      <c r="C1817" s="32"/>
      <c r="D1817" s="32"/>
      <c r="E1817" s="33"/>
      <c r="F1817" s="43" t="s">
        <v>572</v>
      </c>
      <c r="G1817" s="31" t="str">
        <f t="shared" si="30"/>
        <v/>
      </c>
      <c r="H1817" s="35"/>
      <c r="I1817" s="31"/>
      <c r="J1817" s="156">
        <v>0</v>
      </c>
    </row>
    <row r="1818" spans="1:10" ht="15.75" hidden="1" thickBot="1" x14ac:dyDescent="0.3">
      <c r="A1818" s="222"/>
      <c r="B1818" s="225"/>
      <c r="C1818" s="36" t="s">
        <v>52</v>
      </c>
      <c r="D1818" s="47" t="s">
        <v>12</v>
      </c>
      <c r="E1818" s="37">
        <v>2</v>
      </c>
      <c r="F1818" s="31">
        <v>17.470500000000001</v>
      </c>
      <c r="G1818" s="34">
        <f t="shared" si="30"/>
        <v>34.941000000000003</v>
      </c>
      <c r="H1818" s="39">
        <f>SUM(G1818:G1819)</f>
        <v>81.073000000000008</v>
      </c>
      <c r="I1818" s="40"/>
      <c r="J1818" s="156">
        <v>0</v>
      </c>
    </row>
    <row r="1819" spans="1:10" ht="26.25" hidden="1" thickBot="1" x14ac:dyDescent="0.3">
      <c r="A1819" s="222"/>
      <c r="B1819" s="225"/>
      <c r="C1819" s="36" t="s">
        <v>623</v>
      </c>
      <c r="D1819" s="47" t="s">
        <v>12</v>
      </c>
      <c r="E1819" s="37">
        <v>2</v>
      </c>
      <c r="F1819" s="31">
        <v>23.065999999999999</v>
      </c>
      <c r="G1819" s="31">
        <f t="shared" si="30"/>
        <v>46.131999999999998</v>
      </c>
      <c r="H1819" s="35"/>
      <c r="I1819" s="31"/>
      <c r="J1819" s="156">
        <v>0</v>
      </c>
    </row>
    <row r="1820" spans="1:10" ht="15.75" hidden="1" thickBot="1" x14ac:dyDescent="0.3">
      <c r="A1820" s="223"/>
      <c r="B1820" s="226"/>
      <c r="C1820" s="36"/>
      <c r="D1820" s="36"/>
      <c r="E1820" s="37"/>
      <c r="F1820" s="31" t="s">
        <v>572</v>
      </c>
      <c r="G1820" s="31" t="str">
        <f t="shared" si="30"/>
        <v/>
      </c>
      <c r="H1820" s="35"/>
      <c r="I1820" s="31"/>
      <c r="J1820" s="156">
        <v>0</v>
      </c>
    </row>
    <row r="1821" spans="1:10" ht="15.75" hidden="1" thickBot="1" x14ac:dyDescent="0.3">
      <c r="A1821" s="221" t="s">
        <v>624</v>
      </c>
      <c r="B1821" s="224" t="str">
        <f>INDEX(Orçamentária!A:B,MATCH(Composições!A1821,Orçamentária!A:A,0),2)</f>
        <v>Instalação de split reaproveitado</v>
      </c>
      <c r="C1821" s="41"/>
      <c r="D1821" s="26" t="str">
        <f>TRIM(INDEX(Orçamentária!C:C,MATCH(Composições!A1821,Orçamentária!A:A,0),1))</f>
        <v>un</v>
      </c>
      <c r="E1821" s="27"/>
      <c r="F1821" s="42" t="s">
        <v>572</v>
      </c>
      <c r="G1821" s="28" t="str">
        <f t="shared" si="30"/>
        <v/>
      </c>
      <c r="H1821" s="29"/>
      <c r="I1821" s="30"/>
      <c r="J1821" s="156">
        <v>0</v>
      </c>
    </row>
    <row r="1822" spans="1:10" ht="15.75" hidden="1" thickBot="1" x14ac:dyDescent="0.3">
      <c r="A1822" s="222"/>
      <c r="B1822" s="225"/>
      <c r="C1822" s="32"/>
      <c r="D1822" s="32"/>
      <c r="E1822" s="33"/>
      <c r="F1822" s="43" t="s">
        <v>572</v>
      </c>
      <c r="G1822" s="31" t="str">
        <f t="shared" si="30"/>
        <v/>
      </c>
      <c r="H1822" s="35"/>
      <c r="I1822" s="31"/>
      <c r="J1822" s="156">
        <v>0</v>
      </c>
    </row>
    <row r="1823" spans="1:10" ht="15.75" hidden="1" thickBot="1" x14ac:dyDescent="0.3">
      <c r="A1823" s="222"/>
      <c r="B1823" s="225"/>
      <c r="C1823" s="36" t="s">
        <v>52</v>
      </c>
      <c r="D1823" s="47" t="s">
        <v>12</v>
      </c>
      <c r="E1823" s="37">
        <v>3</v>
      </c>
      <c r="F1823" s="31">
        <v>17.470500000000001</v>
      </c>
      <c r="G1823" s="34">
        <f t="shared" si="30"/>
        <v>52.411500000000004</v>
      </c>
      <c r="H1823" s="39">
        <f>SUM(G1823:G1824)</f>
        <v>121.6095</v>
      </c>
      <c r="I1823" s="40"/>
      <c r="J1823" s="156">
        <v>0</v>
      </c>
    </row>
    <row r="1824" spans="1:10" ht="26.25" hidden="1" thickBot="1" x14ac:dyDescent="0.3">
      <c r="A1824" s="222"/>
      <c r="B1824" s="225"/>
      <c r="C1824" s="36" t="s">
        <v>623</v>
      </c>
      <c r="D1824" s="47" t="s">
        <v>12</v>
      </c>
      <c r="E1824" s="37">
        <v>3</v>
      </c>
      <c r="F1824" s="31">
        <v>23.065999999999999</v>
      </c>
      <c r="G1824" s="31">
        <f t="shared" si="30"/>
        <v>69.197999999999993</v>
      </c>
      <c r="H1824" s="35"/>
      <c r="I1824" s="31"/>
      <c r="J1824" s="156">
        <v>0</v>
      </c>
    </row>
    <row r="1825" spans="1:10" ht="15.75" hidden="1" thickBot="1" x14ac:dyDescent="0.3">
      <c r="A1825" s="223"/>
      <c r="B1825" s="226"/>
      <c r="C1825" s="36"/>
      <c r="D1825" s="36"/>
      <c r="E1825" s="37"/>
      <c r="F1825" s="31" t="s">
        <v>572</v>
      </c>
      <c r="G1825" s="31" t="str">
        <f t="shared" si="30"/>
        <v/>
      </c>
      <c r="H1825" s="35"/>
      <c r="I1825" s="31"/>
      <c r="J1825" s="156">
        <v>0</v>
      </c>
    </row>
    <row r="1826" spans="1:10" ht="15.75" hidden="1" thickBot="1" x14ac:dyDescent="0.3">
      <c r="A1826" s="221" t="s">
        <v>625</v>
      </c>
      <c r="B1826" s="224" t="str">
        <f>INDEX(Orçamentária!A:B,MATCH(Composições!A1826,Orçamentária!A:A,0),2)</f>
        <v>Exaustor axial 340 m3/h</v>
      </c>
      <c r="C1826" s="41"/>
      <c r="D1826" s="26" t="str">
        <f>TRIM(INDEX(Orçamentária!C:C,MATCH(Composições!A1826,Orçamentária!A:A,0),1))</f>
        <v>un</v>
      </c>
      <c r="E1826" s="27"/>
      <c r="F1826" s="42" t="s">
        <v>572</v>
      </c>
      <c r="G1826" s="28" t="str">
        <f t="shared" si="30"/>
        <v/>
      </c>
      <c r="H1826" s="29"/>
      <c r="I1826" s="30"/>
      <c r="J1826" s="156">
        <v>0</v>
      </c>
    </row>
    <row r="1827" spans="1:10" ht="15.75" hidden="1" thickBot="1" x14ac:dyDescent="0.3">
      <c r="A1827" s="222"/>
      <c r="B1827" s="225"/>
      <c r="C1827" s="32"/>
      <c r="D1827" s="32"/>
      <c r="E1827" s="33"/>
      <c r="F1827" s="43" t="s">
        <v>572</v>
      </c>
      <c r="G1827" s="31" t="str">
        <f t="shared" si="30"/>
        <v/>
      </c>
      <c r="H1827" s="35"/>
      <c r="I1827" s="31"/>
      <c r="J1827" s="156">
        <v>0</v>
      </c>
    </row>
    <row r="1828" spans="1:10" ht="15.75" hidden="1" thickBot="1" x14ac:dyDescent="0.3">
      <c r="A1828" s="222"/>
      <c r="B1828" s="225"/>
      <c r="C1828" s="36" t="s">
        <v>30</v>
      </c>
      <c r="D1828" s="36" t="s">
        <v>12</v>
      </c>
      <c r="E1828" s="37">
        <v>1</v>
      </c>
      <c r="F1828" s="31">
        <v>22.268000000000001</v>
      </c>
      <c r="G1828" s="34">
        <f t="shared" si="30"/>
        <v>22.268000000000001</v>
      </c>
      <c r="H1828" s="39">
        <f>SUM(G1828:G1830)</f>
        <v>39.634</v>
      </c>
      <c r="I1828" s="40"/>
      <c r="J1828" s="156">
        <v>0</v>
      </c>
    </row>
    <row r="1829" spans="1:10" ht="15.75" hidden="1" thickBot="1" x14ac:dyDescent="0.3">
      <c r="A1829" s="222"/>
      <c r="B1829" s="225"/>
      <c r="C1829" s="36" t="s">
        <v>74</v>
      </c>
      <c r="D1829" s="47" t="s">
        <v>12</v>
      </c>
      <c r="E1829" s="37">
        <v>1</v>
      </c>
      <c r="F1829" s="31">
        <v>17.366</v>
      </c>
      <c r="G1829" s="34">
        <f t="shared" si="30"/>
        <v>17.366</v>
      </c>
      <c r="H1829" s="35"/>
      <c r="I1829" s="31"/>
      <c r="J1829" s="156">
        <v>0</v>
      </c>
    </row>
    <row r="1830" spans="1:10" ht="26.25" hidden="1" thickBot="1" x14ac:dyDescent="0.3">
      <c r="A1830" s="222"/>
      <c r="B1830" s="225"/>
      <c r="C1830" s="36" t="s">
        <v>626</v>
      </c>
      <c r="D1830" s="36" t="s">
        <v>150</v>
      </c>
      <c r="E1830" s="37">
        <v>1</v>
      </c>
      <c r="F1830" s="34" t="s">
        <v>572</v>
      </c>
      <c r="G1830" s="34" t="str">
        <f t="shared" si="30"/>
        <v/>
      </c>
      <c r="H1830" s="35"/>
      <c r="I1830" s="31"/>
      <c r="J1830" s="156">
        <v>0</v>
      </c>
    </row>
    <row r="1831" spans="1:10" ht="15.75" hidden="1" thickBot="1" x14ac:dyDescent="0.3">
      <c r="A1831" s="223"/>
      <c r="B1831" s="226"/>
      <c r="C1831" s="36"/>
      <c r="D1831" s="36"/>
      <c r="E1831" s="37"/>
      <c r="F1831" s="31" t="s">
        <v>572</v>
      </c>
      <c r="G1831" s="31" t="str">
        <f t="shared" si="30"/>
        <v/>
      </c>
      <c r="H1831" s="35"/>
      <c r="I1831" s="31"/>
      <c r="J1831" s="156">
        <v>0</v>
      </c>
    </row>
    <row r="1832" spans="1:10" ht="15.75" hidden="1" thickBot="1" x14ac:dyDescent="0.3">
      <c r="A1832" s="221" t="s">
        <v>627</v>
      </c>
      <c r="B1832" s="224" t="str">
        <f>INDEX(Orçamentária!A:B,MATCH(Composições!A1832,Orçamentária!A:A,0),2)</f>
        <v>Exaustor axial 865 m3/h</v>
      </c>
      <c r="C1832" s="41"/>
      <c r="D1832" s="26" t="str">
        <f>TRIM(INDEX(Orçamentária!C:C,MATCH(Composições!A1832,Orçamentária!A:A,0),1))</f>
        <v>un</v>
      </c>
      <c r="E1832" s="27"/>
      <c r="F1832" s="42" t="s">
        <v>572</v>
      </c>
      <c r="G1832" s="28" t="str">
        <f t="shared" si="30"/>
        <v/>
      </c>
      <c r="H1832" s="29"/>
      <c r="I1832" s="30"/>
      <c r="J1832" s="156">
        <v>0</v>
      </c>
    </row>
    <row r="1833" spans="1:10" ht="15.75" hidden="1" thickBot="1" x14ac:dyDescent="0.3">
      <c r="A1833" s="222"/>
      <c r="B1833" s="225"/>
      <c r="C1833" s="32"/>
      <c r="D1833" s="32"/>
      <c r="E1833" s="33"/>
      <c r="F1833" s="43" t="s">
        <v>572</v>
      </c>
      <c r="G1833" s="31" t="str">
        <f t="shared" si="30"/>
        <v/>
      </c>
      <c r="H1833" s="35"/>
      <c r="I1833" s="31"/>
      <c r="J1833" s="156">
        <v>0</v>
      </c>
    </row>
    <row r="1834" spans="1:10" ht="15.75" hidden="1" thickBot="1" x14ac:dyDescent="0.3">
      <c r="A1834" s="222"/>
      <c r="B1834" s="225"/>
      <c r="C1834" s="36" t="s">
        <v>30</v>
      </c>
      <c r="D1834" s="36" t="s">
        <v>12</v>
      </c>
      <c r="E1834" s="37">
        <v>1</v>
      </c>
      <c r="F1834" s="31">
        <v>22.268000000000001</v>
      </c>
      <c r="G1834" s="34">
        <f t="shared" si="30"/>
        <v>22.268000000000001</v>
      </c>
      <c r="H1834" s="39">
        <f>SUM(G1834:G1836)</f>
        <v>39.634</v>
      </c>
      <c r="I1834" s="40"/>
      <c r="J1834" s="156">
        <v>0</v>
      </c>
    </row>
    <row r="1835" spans="1:10" ht="15.75" hidden="1" thickBot="1" x14ac:dyDescent="0.3">
      <c r="A1835" s="222"/>
      <c r="B1835" s="225"/>
      <c r="C1835" s="36" t="s">
        <v>74</v>
      </c>
      <c r="D1835" s="47" t="s">
        <v>12</v>
      </c>
      <c r="E1835" s="37">
        <v>1</v>
      </c>
      <c r="F1835" s="31">
        <v>17.366</v>
      </c>
      <c r="G1835" s="34">
        <f t="shared" si="30"/>
        <v>17.366</v>
      </c>
      <c r="H1835" s="35"/>
      <c r="I1835" s="31"/>
      <c r="J1835" s="156">
        <v>0</v>
      </c>
    </row>
    <row r="1836" spans="1:10" ht="26.25" hidden="1" thickBot="1" x14ac:dyDescent="0.3">
      <c r="A1836" s="222"/>
      <c r="B1836" s="225"/>
      <c r="C1836" s="36" t="s">
        <v>628</v>
      </c>
      <c r="D1836" s="36" t="s">
        <v>150</v>
      </c>
      <c r="E1836" s="37">
        <v>1</v>
      </c>
      <c r="F1836" s="34" t="s">
        <v>572</v>
      </c>
      <c r="G1836" s="34" t="str">
        <f t="shared" si="30"/>
        <v/>
      </c>
      <c r="H1836" s="35"/>
      <c r="I1836" s="31"/>
      <c r="J1836" s="156">
        <v>0</v>
      </c>
    </row>
    <row r="1837" spans="1:10" ht="15.75" hidden="1" thickBot="1" x14ac:dyDescent="0.3">
      <c r="A1837" s="223"/>
      <c r="B1837" s="226"/>
      <c r="C1837" s="36"/>
      <c r="D1837" s="36"/>
      <c r="E1837" s="37"/>
      <c r="F1837" s="31" t="s">
        <v>572</v>
      </c>
      <c r="G1837" s="31" t="str">
        <f t="shared" si="30"/>
        <v/>
      </c>
      <c r="H1837" s="35"/>
      <c r="I1837" s="31"/>
      <c r="J1837" s="156">
        <v>0</v>
      </c>
    </row>
    <row r="1838" spans="1:10" ht="15.75" hidden="1" thickBot="1" x14ac:dyDescent="0.3">
      <c r="A1838" s="221" t="s">
        <v>629</v>
      </c>
      <c r="B1838" s="224" t="str">
        <f>INDEX(Orçamentária!A:B,MATCH(Composições!A1838,Orçamentária!A:A,0),2)</f>
        <v>Duto chapa galvanizada # 22</v>
      </c>
      <c r="C1838" s="41"/>
      <c r="D1838" s="26" t="str">
        <f>TRIM(INDEX(Orçamentária!C:C,MATCH(Composições!A1838,Orçamentária!A:A,0),1))</f>
        <v>m2</v>
      </c>
      <c r="E1838" s="27"/>
      <c r="F1838" s="42" t="s">
        <v>572</v>
      </c>
      <c r="G1838" s="28" t="str">
        <f t="shared" si="30"/>
        <v/>
      </c>
      <c r="H1838" s="29"/>
      <c r="I1838" s="30"/>
      <c r="J1838" s="156">
        <v>0</v>
      </c>
    </row>
    <row r="1839" spans="1:10" ht="15.75" hidden="1" thickBot="1" x14ac:dyDescent="0.3">
      <c r="A1839" s="222"/>
      <c r="B1839" s="225"/>
      <c r="C1839" s="32"/>
      <c r="D1839" s="32"/>
      <c r="E1839" s="33"/>
      <c r="F1839" s="43" t="s">
        <v>572</v>
      </c>
      <c r="G1839" s="31" t="str">
        <f t="shared" si="30"/>
        <v/>
      </c>
      <c r="H1839" s="35"/>
      <c r="I1839" s="31"/>
      <c r="J1839" s="156">
        <v>0</v>
      </c>
    </row>
    <row r="1840" spans="1:10" ht="15.75" hidden="1" thickBot="1" x14ac:dyDescent="0.3">
      <c r="A1840" s="222"/>
      <c r="B1840" s="225"/>
      <c r="C1840" s="36" t="s">
        <v>630</v>
      </c>
      <c r="D1840" s="47" t="s">
        <v>42</v>
      </c>
      <c r="E1840" s="37">
        <v>6.6559999999999997</v>
      </c>
      <c r="F1840" s="34">
        <v>12.359499999999999</v>
      </c>
      <c r="G1840" s="34">
        <f t="shared" si="30"/>
        <v>82.264831999999984</v>
      </c>
      <c r="H1840" s="39">
        <f>SUM(G1840:G1843)</f>
        <v>234.42443199999997</v>
      </c>
      <c r="I1840" s="40"/>
      <c r="J1840" s="156">
        <v>0</v>
      </c>
    </row>
    <row r="1841" spans="1:10" ht="15.75" hidden="1" thickBot="1" x14ac:dyDescent="0.3">
      <c r="A1841" s="222"/>
      <c r="B1841" s="225"/>
      <c r="C1841" s="36" t="s">
        <v>631</v>
      </c>
      <c r="D1841" s="47" t="s">
        <v>632</v>
      </c>
      <c r="E1841" s="37">
        <v>1</v>
      </c>
      <c r="F1841" s="31">
        <v>0.95</v>
      </c>
      <c r="G1841" s="34">
        <f t="shared" si="30"/>
        <v>0.95</v>
      </c>
      <c r="H1841" s="45"/>
      <c r="I1841" s="46"/>
      <c r="J1841" s="156">
        <v>0</v>
      </c>
    </row>
    <row r="1842" spans="1:10" ht="15.75" hidden="1" thickBot="1" x14ac:dyDescent="0.3">
      <c r="A1842" s="222"/>
      <c r="B1842" s="225"/>
      <c r="C1842" s="36" t="s">
        <v>23</v>
      </c>
      <c r="D1842" s="47" t="s">
        <v>12</v>
      </c>
      <c r="E1842" s="37">
        <v>3.84</v>
      </c>
      <c r="F1842" s="31">
        <v>16.311500000000002</v>
      </c>
      <c r="G1842" s="34">
        <f t="shared" si="30"/>
        <v>62.636160000000004</v>
      </c>
      <c r="H1842" s="35"/>
      <c r="I1842" s="31"/>
      <c r="J1842" s="156">
        <v>0</v>
      </c>
    </row>
    <row r="1843" spans="1:10" ht="26.25" hidden="1" thickBot="1" x14ac:dyDescent="0.3">
      <c r="A1843" s="222"/>
      <c r="B1843" s="225"/>
      <c r="C1843" s="36" t="s">
        <v>623</v>
      </c>
      <c r="D1843" s="47" t="s">
        <v>12</v>
      </c>
      <c r="E1843" s="37">
        <v>3.84</v>
      </c>
      <c r="F1843" s="31">
        <v>23.065999999999999</v>
      </c>
      <c r="G1843" s="34">
        <f t="shared" si="30"/>
        <v>88.573439999999991</v>
      </c>
      <c r="H1843" s="35"/>
      <c r="I1843" s="31"/>
      <c r="J1843" s="156">
        <v>0</v>
      </c>
    </row>
    <row r="1844" spans="1:10" ht="15.75" hidden="1" thickBot="1" x14ac:dyDescent="0.3">
      <c r="A1844" s="223"/>
      <c r="B1844" s="226"/>
      <c r="C1844" s="36"/>
      <c r="D1844" s="36"/>
      <c r="E1844" s="37"/>
      <c r="F1844" s="31" t="s">
        <v>572</v>
      </c>
      <c r="G1844" s="31" t="str">
        <f t="shared" si="30"/>
        <v/>
      </c>
      <c r="H1844" s="35"/>
      <c r="I1844" s="31"/>
      <c r="J1844" s="156">
        <v>0</v>
      </c>
    </row>
    <row r="1845" spans="1:10" ht="15.75" hidden="1" thickBot="1" x14ac:dyDescent="0.3">
      <c r="A1845" s="221" t="s">
        <v>633</v>
      </c>
      <c r="B1845" s="224" t="str">
        <f>INDEX(Orçamentária!A:B,MATCH(Composições!A1845,Orçamentária!A:A,0),2)</f>
        <v>Duto flexível 6”</v>
      </c>
      <c r="C1845" s="41"/>
      <c r="D1845" s="26" t="str">
        <f>TRIM(INDEX(Orçamentária!C:C,MATCH(Composições!A1845,Orçamentária!A:A,0),1))</f>
        <v>m</v>
      </c>
      <c r="E1845" s="27"/>
      <c r="F1845" s="42" t="s">
        <v>572</v>
      </c>
      <c r="G1845" s="28" t="str">
        <f t="shared" si="30"/>
        <v/>
      </c>
      <c r="H1845" s="29"/>
      <c r="I1845" s="30"/>
      <c r="J1845" s="156">
        <v>0</v>
      </c>
    </row>
    <row r="1846" spans="1:10" ht="15.75" hidden="1" thickBot="1" x14ac:dyDescent="0.3">
      <c r="A1846" s="222"/>
      <c r="B1846" s="225"/>
      <c r="C1846" s="32"/>
      <c r="D1846" s="32"/>
      <c r="E1846" s="33"/>
      <c r="F1846" s="43" t="s">
        <v>572</v>
      </c>
      <c r="G1846" s="31" t="str">
        <f t="shared" si="30"/>
        <v/>
      </c>
      <c r="H1846" s="35"/>
      <c r="I1846" s="31"/>
      <c r="J1846" s="156">
        <v>0</v>
      </c>
    </row>
    <row r="1847" spans="1:10" ht="15.75" hidden="1" thickBot="1" x14ac:dyDescent="0.3">
      <c r="A1847" s="222"/>
      <c r="B1847" s="225"/>
      <c r="C1847" s="36" t="s">
        <v>23</v>
      </c>
      <c r="D1847" s="47" t="s">
        <v>12</v>
      </c>
      <c r="E1847" s="37">
        <v>0.4</v>
      </c>
      <c r="F1847" s="31">
        <v>16.311500000000002</v>
      </c>
      <c r="G1847" s="31">
        <f t="shared" si="30"/>
        <v>6.5246000000000013</v>
      </c>
      <c r="H1847" s="39">
        <f>SUM(G1847:G1849)</f>
        <v>15.751000000000001</v>
      </c>
      <c r="I1847" s="40"/>
      <c r="J1847" s="156">
        <v>0</v>
      </c>
    </row>
    <row r="1848" spans="1:10" ht="26.25" hidden="1" thickBot="1" x14ac:dyDescent="0.3">
      <c r="A1848" s="222"/>
      <c r="B1848" s="225"/>
      <c r="C1848" s="36" t="s">
        <v>623</v>
      </c>
      <c r="D1848" s="47" t="s">
        <v>12</v>
      </c>
      <c r="E1848" s="37">
        <v>0.4</v>
      </c>
      <c r="F1848" s="31">
        <v>23.065999999999999</v>
      </c>
      <c r="G1848" s="31">
        <f t="shared" si="30"/>
        <v>9.2263999999999999</v>
      </c>
      <c r="H1848" s="35"/>
      <c r="I1848" s="31"/>
      <c r="J1848" s="156">
        <v>0</v>
      </c>
    </row>
    <row r="1849" spans="1:10" ht="26.25" hidden="1" thickBot="1" x14ac:dyDescent="0.3">
      <c r="A1849" s="222"/>
      <c r="B1849" s="225"/>
      <c r="C1849" s="36" t="s">
        <v>634</v>
      </c>
      <c r="D1849" s="36" t="s">
        <v>94</v>
      </c>
      <c r="E1849" s="37">
        <v>1.05</v>
      </c>
      <c r="F1849" s="34" t="s">
        <v>572</v>
      </c>
      <c r="G1849" s="31" t="str">
        <f t="shared" si="30"/>
        <v/>
      </c>
      <c r="H1849" s="35"/>
      <c r="I1849" s="31"/>
      <c r="J1849" s="156">
        <v>0</v>
      </c>
    </row>
    <row r="1850" spans="1:10" ht="15.75" hidden="1" thickBot="1" x14ac:dyDescent="0.3">
      <c r="A1850" s="223"/>
      <c r="B1850" s="226"/>
      <c r="C1850" s="36"/>
      <c r="D1850" s="36"/>
      <c r="E1850" s="37"/>
      <c r="F1850" s="31" t="s">
        <v>572</v>
      </c>
      <c r="G1850" s="31" t="str">
        <f t="shared" si="30"/>
        <v/>
      </c>
      <c r="H1850" s="35"/>
      <c r="I1850" s="31"/>
      <c r="J1850" s="156">
        <v>0</v>
      </c>
    </row>
    <row r="1851" spans="1:10" ht="15.75" hidden="1" thickBot="1" x14ac:dyDescent="0.3">
      <c r="A1851" s="221" t="s">
        <v>635</v>
      </c>
      <c r="B1851" s="224" t="str">
        <f>INDEX(Orçamentária!A:B,MATCH(Composições!A1851,Orçamentária!A:A,0),2)</f>
        <v>Duto flexível 8”</v>
      </c>
      <c r="C1851" s="41"/>
      <c r="D1851" s="26" t="str">
        <f>TRIM(INDEX(Orçamentária!C:C,MATCH(Composições!A1851,Orçamentária!A:A,0),1))</f>
        <v>m</v>
      </c>
      <c r="E1851" s="27"/>
      <c r="F1851" s="42" t="s">
        <v>572</v>
      </c>
      <c r="G1851" s="28" t="str">
        <f t="shared" si="30"/>
        <v/>
      </c>
      <c r="H1851" s="29"/>
      <c r="I1851" s="30"/>
      <c r="J1851" s="156">
        <v>0</v>
      </c>
    </row>
    <row r="1852" spans="1:10" ht="15.75" hidden="1" thickBot="1" x14ac:dyDescent="0.3">
      <c r="A1852" s="222"/>
      <c r="B1852" s="225"/>
      <c r="C1852" s="32"/>
      <c r="D1852" s="32"/>
      <c r="E1852" s="33"/>
      <c r="F1852" s="43" t="s">
        <v>572</v>
      </c>
      <c r="G1852" s="31" t="str">
        <f t="shared" si="30"/>
        <v/>
      </c>
      <c r="H1852" s="35"/>
      <c r="I1852" s="31"/>
      <c r="J1852" s="156">
        <v>0</v>
      </c>
    </row>
    <row r="1853" spans="1:10" ht="15.75" hidden="1" thickBot="1" x14ac:dyDescent="0.3">
      <c r="A1853" s="222"/>
      <c r="B1853" s="225"/>
      <c r="C1853" s="36" t="s">
        <v>23</v>
      </c>
      <c r="D1853" s="47" t="s">
        <v>12</v>
      </c>
      <c r="E1853" s="37">
        <v>0.4</v>
      </c>
      <c r="F1853" s="31">
        <v>16.311500000000002</v>
      </c>
      <c r="G1853" s="31">
        <f t="shared" si="30"/>
        <v>6.5246000000000013</v>
      </c>
      <c r="H1853" s="39">
        <f>SUM(G1853:G1855)</f>
        <v>15.751000000000001</v>
      </c>
      <c r="I1853" s="40"/>
      <c r="J1853" s="156">
        <v>0</v>
      </c>
    </row>
    <row r="1854" spans="1:10" ht="26.25" hidden="1" thickBot="1" x14ac:dyDescent="0.3">
      <c r="A1854" s="222"/>
      <c r="B1854" s="225"/>
      <c r="C1854" s="36" t="s">
        <v>623</v>
      </c>
      <c r="D1854" s="47" t="s">
        <v>12</v>
      </c>
      <c r="E1854" s="37">
        <v>0.4</v>
      </c>
      <c r="F1854" s="31">
        <v>23.065999999999999</v>
      </c>
      <c r="G1854" s="31">
        <f t="shared" si="30"/>
        <v>9.2263999999999999</v>
      </c>
      <c r="H1854" s="35"/>
      <c r="I1854" s="31"/>
      <c r="J1854" s="156">
        <v>0</v>
      </c>
    </row>
    <row r="1855" spans="1:10" ht="26.25" hidden="1" thickBot="1" x14ac:dyDescent="0.3">
      <c r="A1855" s="222"/>
      <c r="B1855" s="225"/>
      <c r="C1855" s="36" t="s">
        <v>636</v>
      </c>
      <c r="D1855" s="36" t="s">
        <v>94</v>
      </c>
      <c r="E1855" s="37">
        <v>1.05</v>
      </c>
      <c r="F1855" s="34" t="s">
        <v>572</v>
      </c>
      <c r="G1855" s="31" t="str">
        <f t="shared" si="30"/>
        <v/>
      </c>
      <c r="H1855" s="35"/>
      <c r="I1855" s="31"/>
      <c r="J1855" s="156">
        <v>0</v>
      </c>
    </row>
    <row r="1856" spans="1:10" ht="15.75" hidden="1" thickBot="1" x14ac:dyDescent="0.3">
      <c r="A1856" s="223"/>
      <c r="B1856" s="226"/>
      <c r="C1856" s="36"/>
      <c r="D1856" s="36"/>
      <c r="E1856" s="37"/>
      <c r="F1856" s="31" t="s">
        <v>572</v>
      </c>
      <c r="G1856" s="31" t="str">
        <f t="shared" si="30"/>
        <v/>
      </c>
      <c r="H1856" s="35"/>
      <c r="I1856" s="31"/>
      <c r="J1856" s="156">
        <v>0</v>
      </c>
    </row>
    <row r="1857" spans="1:10" ht="15.75" hidden="1" thickBot="1" x14ac:dyDescent="0.3">
      <c r="A1857" s="221" t="s">
        <v>637</v>
      </c>
      <c r="B1857" s="224" t="str">
        <f>INDEX(Orçamentária!A:B,MATCH(Composições!A1857,Orçamentária!A:A,0),2)</f>
        <v>Difusor de ar quadrado 360x360 mm</v>
      </c>
      <c r="C1857" s="41"/>
      <c r="D1857" s="26" t="str">
        <f>TRIM(INDEX(Orçamentária!C:C,MATCH(Composições!A1857,Orçamentária!A:A,0),1))</f>
        <v>un</v>
      </c>
      <c r="E1857" s="27"/>
      <c r="F1857" s="42" t="s">
        <v>572</v>
      </c>
      <c r="G1857" s="28" t="str">
        <f t="shared" si="30"/>
        <v/>
      </c>
      <c r="H1857" s="29"/>
      <c r="I1857" s="30"/>
      <c r="J1857" s="156">
        <v>0</v>
      </c>
    </row>
    <row r="1858" spans="1:10" ht="15.75" hidden="1" thickBot="1" x14ac:dyDescent="0.3">
      <c r="A1858" s="222"/>
      <c r="B1858" s="225"/>
      <c r="C1858" s="32"/>
      <c r="D1858" s="32"/>
      <c r="E1858" s="33"/>
      <c r="F1858" s="43" t="s">
        <v>572</v>
      </c>
      <c r="G1858" s="31" t="str">
        <f t="shared" si="30"/>
        <v/>
      </c>
      <c r="H1858" s="35"/>
      <c r="I1858" s="31"/>
      <c r="J1858" s="156">
        <v>0</v>
      </c>
    </row>
    <row r="1859" spans="1:10" ht="15.75" hidden="1" thickBot="1" x14ac:dyDescent="0.3">
      <c r="A1859" s="222"/>
      <c r="B1859" s="225"/>
      <c r="C1859" s="36" t="s">
        <v>52</v>
      </c>
      <c r="D1859" s="47" t="s">
        <v>12</v>
      </c>
      <c r="E1859" s="37">
        <v>2.5</v>
      </c>
      <c r="F1859" s="31">
        <v>17.470500000000001</v>
      </c>
      <c r="G1859" s="34">
        <f t="shared" si="30"/>
        <v>43.676250000000003</v>
      </c>
      <c r="H1859" s="39">
        <f>SUM(G1859:G1861)</f>
        <v>101.34125</v>
      </c>
      <c r="I1859" s="40"/>
      <c r="J1859" s="156">
        <v>0</v>
      </c>
    </row>
    <row r="1860" spans="1:10" ht="26.25" hidden="1" thickBot="1" x14ac:dyDescent="0.3">
      <c r="A1860" s="222"/>
      <c r="B1860" s="225"/>
      <c r="C1860" s="36" t="s">
        <v>623</v>
      </c>
      <c r="D1860" s="47" t="s">
        <v>12</v>
      </c>
      <c r="E1860" s="37">
        <v>2.5</v>
      </c>
      <c r="F1860" s="31">
        <v>23.065999999999999</v>
      </c>
      <c r="G1860" s="34">
        <f t="shared" si="30"/>
        <v>57.664999999999999</v>
      </c>
      <c r="H1860" s="35"/>
      <c r="I1860" s="31"/>
      <c r="J1860" s="156">
        <v>0</v>
      </c>
    </row>
    <row r="1861" spans="1:10" ht="26.25" hidden="1" thickBot="1" x14ac:dyDescent="0.3">
      <c r="A1861" s="222"/>
      <c r="B1861" s="225"/>
      <c r="C1861" s="36" t="s">
        <v>638</v>
      </c>
      <c r="D1861" s="36" t="s">
        <v>150</v>
      </c>
      <c r="E1861" s="37">
        <v>1</v>
      </c>
      <c r="F1861" s="34" t="s">
        <v>572</v>
      </c>
      <c r="G1861" s="34" t="str">
        <f t="shared" si="30"/>
        <v/>
      </c>
      <c r="H1861" s="35"/>
      <c r="I1861" s="31"/>
      <c r="J1861" s="156">
        <v>0</v>
      </c>
    </row>
    <row r="1862" spans="1:10" ht="15.75" hidden="1" thickBot="1" x14ac:dyDescent="0.3">
      <c r="A1862" s="223"/>
      <c r="B1862" s="226"/>
      <c r="C1862" s="36"/>
      <c r="D1862" s="36"/>
      <c r="E1862" s="37"/>
      <c r="F1862" s="31" t="s">
        <v>572</v>
      </c>
      <c r="G1862" s="31" t="str">
        <f t="shared" si="30"/>
        <v/>
      </c>
      <c r="H1862" s="35"/>
      <c r="I1862" s="31"/>
      <c r="J1862" s="156">
        <v>0</v>
      </c>
    </row>
    <row r="1863" spans="1:10" ht="15.75" hidden="1" thickBot="1" x14ac:dyDescent="0.3">
      <c r="A1863" s="221" t="s">
        <v>639</v>
      </c>
      <c r="B1863" s="224" t="str">
        <f>INDEX(Orçamentária!A:B,MATCH(Composições!A1863,Orçamentária!A:A,0),2)</f>
        <v>Difusor de ar quadrado com caixa plenum AK6 360x360 mm</v>
      </c>
      <c r="C1863" s="41"/>
      <c r="D1863" s="26" t="str">
        <f>TRIM(INDEX(Orçamentária!C:C,MATCH(Composições!A1863,Orçamentária!A:A,0),1))</f>
        <v>un</v>
      </c>
      <c r="E1863" s="27"/>
      <c r="F1863" s="42" t="s">
        <v>572</v>
      </c>
      <c r="G1863" s="28" t="str">
        <f t="shared" si="30"/>
        <v/>
      </c>
      <c r="H1863" s="29"/>
      <c r="I1863" s="30"/>
      <c r="J1863" s="156">
        <v>0</v>
      </c>
    </row>
    <row r="1864" spans="1:10" ht="15.75" hidden="1" thickBot="1" x14ac:dyDescent="0.3">
      <c r="A1864" s="222"/>
      <c r="B1864" s="225"/>
      <c r="C1864" s="32"/>
      <c r="D1864" s="32"/>
      <c r="E1864" s="33"/>
      <c r="F1864" s="43" t="s">
        <v>572</v>
      </c>
      <c r="G1864" s="31" t="str">
        <f t="shared" si="30"/>
        <v/>
      </c>
      <c r="H1864" s="35"/>
      <c r="I1864" s="31"/>
      <c r="J1864" s="156">
        <v>0</v>
      </c>
    </row>
    <row r="1865" spans="1:10" ht="15.75" hidden="1" thickBot="1" x14ac:dyDescent="0.3">
      <c r="A1865" s="222"/>
      <c r="B1865" s="225"/>
      <c r="C1865" s="36" t="s">
        <v>52</v>
      </c>
      <c r="D1865" s="47" t="s">
        <v>12</v>
      </c>
      <c r="E1865" s="37">
        <v>2.5</v>
      </c>
      <c r="F1865" s="31">
        <v>17.470500000000001</v>
      </c>
      <c r="G1865" s="34">
        <f t="shared" si="30"/>
        <v>43.676250000000003</v>
      </c>
      <c r="H1865" s="39">
        <f>SUM(G1865:G1867)</f>
        <v>101.34125</v>
      </c>
      <c r="I1865" s="40"/>
      <c r="J1865" s="156">
        <v>0</v>
      </c>
    </row>
    <row r="1866" spans="1:10" ht="26.25" hidden="1" thickBot="1" x14ac:dyDescent="0.3">
      <c r="A1866" s="222"/>
      <c r="B1866" s="225"/>
      <c r="C1866" s="36" t="s">
        <v>623</v>
      </c>
      <c r="D1866" s="47" t="s">
        <v>12</v>
      </c>
      <c r="E1866" s="37">
        <v>2.5</v>
      </c>
      <c r="F1866" s="31">
        <v>23.065999999999999</v>
      </c>
      <c r="G1866" s="34">
        <f t="shared" si="30"/>
        <v>57.664999999999999</v>
      </c>
      <c r="H1866" s="35"/>
      <c r="I1866" s="31"/>
      <c r="J1866" s="156">
        <v>0</v>
      </c>
    </row>
    <row r="1867" spans="1:10" ht="26.25" hidden="1" thickBot="1" x14ac:dyDescent="0.3">
      <c r="A1867" s="222"/>
      <c r="B1867" s="225"/>
      <c r="C1867" s="36" t="s">
        <v>640</v>
      </c>
      <c r="D1867" s="36" t="s">
        <v>150</v>
      </c>
      <c r="E1867" s="37">
        <v>1</v>
      </c>
      <c r="F1867" s="34" t="s">
        <v>572</v>
      </c>
      <c r="G1867" s="34" t="str">
        <f t="shared" si="30"/>
        <v/>
      </c>
      <c r="H1867" s="35"/>
      <c r="I1867" s="31"/>
      <c r="J1867" s="156">
        <v>0</v>
      </c>
    </row>
    <row r="1868" spans="1:10" ht="15.75" hidden="1" thickBot="1" x14ac:dyDescent="0.3">
      <c r="A1868" s="223"/>
      <c r="B1868" s="226"/>
      <c r="C1868" s="36"/>
      <c r="D1868" s="36"/>
      <c r="E1868" s="37"/>
      <c r="F1868" s="31" t="s">
        <v>572</v>
      </c>
      <c r="G1868" s="31" t="str">
        <f t="shared" si="30"/>
        <v/>
      </c>
      <c r="H1868" s="35"/>
      <c r="I1868" s="31"/>
      <c r="J1868" s="156">
        <v>0</v>
      </c>
    </row>
    <row r="1869" spans="1:10" ht="15.75" hidden="1" thickBot="1" x14ac:dyDescent="0.3">
      <c r="A1869" s="221" t="s">
        <v>641</v>
      </c>
      <c r="B1869" s="224" t="str">
        <f>INDEX(Orçamentária!A:B,MATCH(Composições!A1869,Orçamentária!A:A,0),2)</f>
        <v>Difusor de ar quadrado para insuflamento em duas direções perpendiculares 376x376 mm</v>
      </c>
      <c r="C1869" s="41"/>
      <c r="D1869" s="26" t="str">
        <f>TRIM(INDEX(Orçamentária!C:C,MATCH(Composições!A1869,Orçamentária!A:A,0),1))</f>
        <v>un</v>
      </c>
      <c r="E1869" s="27"/>
      <c r="F1869" s="42" t="s">
        <v>572</v>
      </c>
      <c r="G1869" s="28" t="str">
        <f t="shared" si="30"/>
        <v/>
      </c>
      <c r="H1869" s="29"/>
      <c r="I1869" s="30"/>
      <c r="J1869" s="156">
        <v>0</v>
      </c>
    </row>
    <row r="1870" spans="1:10" ht="15.75" hidden="1" thickBot="1" x14ac:dyDescent="0.3">
      <c r="A1870" s="222"/>
      <c r="B1870" s="225"/>
      <c r="C1870" s="32"/>
      <c r="D1870" s="32"/>
      <c r="E1870" s="33"/>
      <c r="F1870" s="43" t="s">
        <v>572</v>
      </c>
      <c r="G1870" s="31" t="str">
        <f t="shared" si="30"/>
        <v/>
      </c>
      <c r="H1870" s="35"/>
      <c r="I1870" s="31"/>
      <c r="J1870" s="156">
        <v>0</v>
      </c>
    </row>
    <row r="1871" spans="1:10" ht="15.75" hidden="1" thickBot="1" x14ac:dyDescent="0.3">
      <c r="A1871" s="222"/>
      <c r="B1871" s="225"/>
      <c r="C1871" s="36" t="s">
        <v>52</v>
      </c>
      <c r="D1871" s="47" t="s">
        <v>12</v>
      </c>
      <c r="E1871" s="37">
        <v>2.5</v>
      </c>
      <c r="F1871" s="31">
        <v>17.470500000000001</v>
      </c>
      <c r="G1871" s="34">
        <f t="shared" si="30"/>
        <v>43.676250000000003</v>
      </c>
      <c r="H1871" s="39">
        <f>SUM(G1871:G1873)</f>
        <v>101.34125</v>
      </c>
      <c r="I1871" s="40"/>
      <c r="J1871" s="156">
        <v>0</v>
      </c>
    </row>
    <row r="1872" spans="1:10" ht="26.25" hidden="1" thickBot="1" x14ac:dyDescent="0.3">
      <c r="A1872" s="222"/>
      <c r="B1872" s="225"/>
      <c r="C1872" s="36" t="s">
        <v>623</v>
      </c>
      <c r="D1872" s="47" t="s">
        <v>12</v>
      </c>
      <c r="E1872" s="37">
        <v>2.5</v>
      </c>
      <c r="F1872" s="31">
        <v>23.065999999999999</v>
      </c>
      <c r="G1872" s="34">
        <f t="shared" si="30"/>
        <v>57.664999999999999</v>
      </c>
      <c r="H1872" s="35"/>
      <c r="I1872" s="31"/>
      <c r="J1872" s="156">
        <v>0</v>
      </c>
    </row>
    <row r="1873" spans="1:10" ht="26.25" hidden="1" thickBot="1" x14ac:dyDescent="0.3">
      <c r="A1873" s="222"/>
      <c r="B1873" s="225"/>
      <c r="C1873" s="36" t="s">
        <v>642</v>
      </c>
      <c r="D1873" s="36" t="s">
        <v>150</v>
      </c>
      <c r="E1873" s="37">
        <v>1</v>
      </c>
      <c r="F1873" s="34" t="s">
        <v>572</v>
      </c>
      <c r="G1873" s="34" t="str">
        <f t="shared" si="30"/>
        <v/>
      </c>
      <c r="H1873" s="35"/>
      <c r="I1873" s="31"/>
      <c r="J1873" s="156">
        <v>0</v>
      </c>
    </row>
    <row r="1874" spans="1:10" ht="15.75" hidden="1" thickBot="1" x14ac:dyDescent="0.3">
      <c r="A1874" s="223"/>
      <c r="B1874" s="226"/>
      <c r="C1874" s="36"/>
      <c r="D1874" s="36"/>
      <c r="E1874" s="37"/>
      <c r="F1874" s="31" t="s">
        <v>572</v>
      </c>
      <c r="G1874" s="31" t="str">
        <f t="shared" si="30"/>
        <v/>
      </c>
      <c r="H1874" s="35"/>
      <c r="I1874" s="31"/>
      <c r="J1874" s="156">
        <v>0</v>
      </c>
    </row>
    <row r="1875" spans="1:10" ht="15.75" hidden="1" thickBot="1" x14ac:dyDescent="0.3">
      <c r="A1875" s="221" t="s">
        <v>643</v>
      </c>
      <c r="B1875" s="224" t="str">
        <f>INDEX(Orçamentária!A:B,MATCH(Composições!A1875,Orçamentária!A:A,0),2)</f>
        <v>Difusor de ar retangular para insuflamento em duas direções 371x208 mm</v>
      </c>
      <c r="C1875" s="41"/>
      <c r="D1875" s="26" t="str">
        <f>TRIM(INDEX(Orçamentária!C:C,MATCH(Composições!A1875,Orçamentária!A:A,0),1))</f>
        <v>un</v>
      </c>
      <c r="E1875" s="27"/>
      <c r="F1875" s="42" t="s">
        <v>572</v>
      </c>
      <c r="G1875" s="28" t="str">
        <f t="shared" si="30"/>
        <v/>
      </c>
      <c r="H1875" s="29"/>
      <c r="I1875" s="30"/>
      <c r="J1875" s="156">
        <v>0</v>
      </c>
    </row>
    <row r="1876" spans="1:10" ht="15.75" hidden="1" thickBot="1" x14ac:dyDescent="0.3">
      <c r="A1876" s="222"/>
      <c r="B1876" s="225"/>
      <c r="C1876" s="32"/>
      <c r="D1876" s="32"/>
      <c r="E1876" s="33"/>
      <c r="F1876" s="43" t="s">
        <v>572</v>
      </c>
      <c r="G1876" s="31" t="str">
        <f t="shared" si="30"/>
        <v/>
      </c>
      <c r="H1876" s="35"/>
      <c r="I1876" s="31"/>
      <c r="J1876" s="156">
        <v>0</v>
      </c>
    </row>
    <row r="1877" spans="1:10" ht="15.75" hidden="1" thickBot="1" x14ac:dyDescent="0.3">
      <c r="A1877" s="222"/>
      <c r="B1877" s="225"/>
      <c r="C1877" s="36" t="s">
        <v>52</v>
      </c>
      <c r="D1877" s="47" t="s">
        <v>12</v>
      </c>
      <c r="E1877" s="37">
        <v>2.5</v>
      </c>
      <c r="F1877" s="31">
        <v>17.470500000000001</v>
      </c>
      <c r="G1877" s="34">
        <f t="shared" ref="G1877:G1940" si="31">IF(ISNUMBER(F1877),E1877*F1877,"")</f>
        <v>43.676250000000003</v>
      </c>
      <c r="H1877" s="39">
        <f>SUM(G1877:G1879)</f>
        <v>101.34125</v>
      </c>
      <c r="I1877" s="40"/>
      <c r="J1877" s="156">
        <v>0</v>
      </c>
    </row>
    <row r="1878" spans="1:10" ht="26.25" hidden="1" thickBot="1" x14ac:dyDescent="0.3">
      <c r="A1878" s="222"/>
      <c r="B1878" s="225"/>
      <c r="C1878" s="36" t="s">
        <v>623</v>
      </c>
      <c r="D1878" s="47" t="s">
        <v>12</v>
      </c>
      <c r="E1878" s="37">
        <v>2.5</v>
      </c>
      <c r="F1878" s="31">
        <v>23.065999999999999</v>
      </c>
      <c r="G1878" s="34">
        <f t="shared" si="31"/>
        <v>57.664999999999999</v>
      </c>
      <c r="H1878" s="35"/>
      <c r="I1878" s="31"/>
      <c r="J1878" s="156">
        <v>0</v>
      </c>
    </row>
    <row r="1879" spans="1:10" ht="39" hidden="1" thickBot="1" x14ac:dyDescent="0.3">
      <c r="A1879" s="222"/>
      <c r="B1879" s="225"/>
      <c r="C1879" s="36" t="s">
        <v>644</v>
      </c>
      <c r="D1879" s="36" t="s">
        <v>150</v>
      </c>
      <c r="E1879" s="37">
        <v>1</v>
      </c>
      <c r="F1879" s="34" t="s">
        <v>572</v>
      </c>
      <c r="G1879" s="34" t="str">
        <f t="shared" si="31"/>
        <v/>
      </c>
      <c r="H1879" s="35"/>
      <c r="I1879" s="31"/>
      <c r="J1879" s="156">
        <v>0</v>
      </c>
    </row>
    <row r="1880" spans="1:10" ht="15.75" hidden="1" thickBot="1" x14ac:dyDescent="0.3">
      <c r="A1880" s="223"/>
      <c r="B1880" s="226"/>
      <c r="C1880" s="36"/>
      <c r="D1880" s="36"/>
      <c r="E1880" s="37"/>
      <c r="F1880" s="31" t="s">
        <v>572</v>
      </c>
      <c r="G1880" s="31" t="str">
        <f t="shared" si="31"/>
        <v/>
      </c>
      <c r="H1880" s="35"/>
      <c r="I1880" s="31"/>
      <c r="J1880" s="156">
        <v>0</v>
      </c>
    </row>
    <row r="1881" spans="1:10" ht="15.75" hidden="1" thickBot="1" x14ac:dyDescent="0.3">
      <c r="A1881" s="221" t="s">
        <v>645</v>
      </c>
      <c r="B1881" s="224" t="str">
        <f>INDEX(Orçamentária!A:B,MATCH(Composições!A1881,Orçamentária!A:A,0),2)</f>
        <v>Difusor de ar retangular para insuflamento em três direções 264x432 mm</v>
      </c>
      <c r="C1881" s="41"/>
      <c r="D1881" s="26" t="str">
        <f>TRIM(INDEX(Orçamentária!C:C,MATCH(Composições!A1881,Orçamentária!A:A,0),1))</f>
        <v>un</v>
      </c>
      <c r="E1881" s="27"/>
      <c r="F1881" s="42" t="s">
        <v>572</v>
      </c>
      <c r="G1881" s="28" t="str">
        <f t="shared" si="31"/>
        <v/>
      </c>
      <c r="H1881" s="29"/>
      <c r="I1881" s="30"/>
      <c r="J1881" s="156">
        <v>0</v>
      </c>
    </row>
    <row r="1882" spans="1:10" ht="15.75" hidden="1" thickBot="1" x14ac:dyDescent="0.3">
      <c r="A1882" s="222"/>
      <c r="B1882" s="225"/>
      <c r="C1882" s="32"/>
      <c r="D1882" s="32"/>
      <c r="E1882" s="33"/>
      <c r="F1882" s="43" t="s">
        <v>572</v>
      </c>
      <c r="G1882" s="31" t="str">
        <f t="shared" si="31"/>
        <v/>
      </c>
      <c r="H1882" s="35"/>
      <c r="I1882" s="31"/>
      <c r="J1882" s="156">
        <v>0</v>
      </c>
    </row>
    <row r="1883" spans="1:10" ht="15.75" hidden="1" thickBot="1" x14ac:dyDescent="0.3">
      <c r="A1883" s="222"/>
      <c r="B1883" s="225"/>
      <c r="C1883" s="36" t="s">
        <v>52</v>
      </c>
      <c r="D1883" s="47" t="s">
        <v>12</v>
      </c>
      <c r="E1883" s="37">
        <v>2.5</v>
      </c>
      <c r="F1883" s="31">
        <v>17.470500000000001</v>
      </c>
      <c r="G1883" s="34">
        <f t="shared" si="31"/>
        <v>43.676250000000003</v>
      </c>
      <c r="H1883" s="39">
        <f>SUM(G1883:G1885)</f>
        <v>101.34125</v>
      </c>
      <c r="I1883" s="40"/>
      <c r="J1883" s="156">
        <v>0</v>
      </c>
    </row>
    <row r="1884" spans="1:10" ht="26.25" hidden="1" thickBot="1" x14ac:dyDescent="0.3">
      <c r="A1884" s="222"/>
      <c r="B1884" s="225"/>
      <c r="C1884" s="36" t="s">
        <v>623</v>
      </c>
      <c r="D1884" s="47" t="s">
        <v>12</v>
      </c>
      <c r="E1884" s="37">
        <v>2.5</v>
      </c>
      <c r="F1884" s="31">
        <v>23.065999999999999</v>
      </c>
      <c r="G1884" s="34">
        <f t="shared" si="31"/>
        <v>57.664999999999999</v>
      </c>
      <c r="H1884" s="35"/>
      <c r="I1884" s="31"/>
      <c r="J1884" s="156">
        <v>0</v>
      </c>
    </row>
    <row r="1885" spans="1:10" ht="51.75" hidden="1" thickBot="1" x14ac:dyDescent="0.3">
      <c r="A1885" s="222"/>
      <c r="B1885" s="225"/>
      <c r="C1885" s="36" t="s">
        <v>646</v>
      </c>
      <c r="D1885" s="36" t="s">
        <v>150</v>
      </c>
      <c r="E1885" s="37">
        <v>1</v>
      </c>
      <c r="F1885" s="34" t="s">
        <v>572</v>
      </c>
      <c r="G1885" s="34" t="str">
        <f t="shared" si="31"/>
        <v/>
      </c>
      <c r="H1885" s="35"/>
      <c r="I1885" s="31"/>
      <c r="J1885" s="156">
        <v>0</v>
      </c>
    </row>
    <row r="1886" spans="1:10" ht="15.75" hidden="1" thickBot="1" x14ac:dyDescent="0.3">
      <c r="A1886" s="223"/>
      <c r="B1886" s="226"/>
      <c r="C1886" s="36"/>
      <c r="D1886" s="36"/>
      <c r="E1886" s="37"/>
      <c r="F1886" s="31" t="s">
        <v>572</v>
      </c>
      <c r="G1886" s="31" t="str">
        <f t="shared" si="31"/>
        <v/>
      </c>
      <c r="H1886" s="35"/>
      <c r="I1886" s="31"/>
      <c r="J1886" s="156">
        <v>0</v>
      </c>
    </row>
    <row r="1887" spans="1:10" ht="15.75" hidden="1" thickBot="1" x14ac:dyDescent="0.3">
      <c r="A1887" s="221" t="s">
        <v>647</v>
      </c>
      <c r="B1887" s="224" t="str">
        <f>INDEX(Orçamentária!A:B,MATCH(Composições!A1887,Orçamentária!A:A,0),2)</f>
        <v>Difusor de ar retangular para insuflamento em três direções 320x562 mm</v>
      </c>
      <c r="C1887" s="41"/>
      <c r="D1887" s="26" t="str">
        <f>TRIM(INDEX(Orçamentária!C:C,MATCH(Composições!A1887,Orçamentária!A:A,0),1))</f>
        <v>un</v>
      </c>
      <c r="E1887" s="27"/>
      <c r="F1887" s="42" t="s">
        <v>572</v>
      </c>
      <c r="G1887" s="28" t="str">
        <f t="shared" si="31"/>
        <v/>
      </c>
      <c r="H1887" s="29"/>
      <c r="I1887" s="30"/>
      <c r="J1887" s="156">
        <v>0</v>
      </c>
    </row>
    <row r="1888" spans="1:10" ht="15.75" hidden="1" thickBot="1" x14ac:dyDescent="0.3">
      <c r="A1888" s="222"/>
      <c r="B1888" s="225"/>
      <c r="C1888" s="32"/>
      <c r="D1888" s="32"/>
      <c r="E1888" s="33"/>
      <c r="F1888" s="43" t="s">
        <v>572</v>
      </c>
      <c r="G1888" s="31" t="str">
        <f t="shared" si="31"/>
        <v/>
      </c>
      <c r="H1888" s="35"/>
      <c r="I1888" s="31"/>
      <c r="J1888" s="156">
        <v>0</v>
      </c>
    </row>
    <row r="1889" spans="1:10" ht="15.75" hidden="1" thickBot="1" x14ac:dyDescent="0.3">
      <c r="A1889" s="222"/>
      <c r="B1889" s="225"/>
      <c r="C1889" s="36" t="s">
        <v>52</v>
      </c>
      <c r="D1889" s="47" t="s">
        <v>12</v>
      </c>
      <c r="E1889" s="37">
        <v>2.5</v>
      </c>
      <c r="F1889" s="31">
        <v>17.470500000000001</v>
      </c>
      <c r="G1889" s="34">
        <f t="shared" si="31"/>
        <v>43.676250000000003</v>
      </c>
      <c r="H1889" s="39">
        <f>SUM(G1889:G1891)</f>
        <v>101.34125</v>
      </c>
      <c r="I1889" s="40"/>
      <c r="J1889" s="156">
        <v>0</v>
      </c>
    </row>
    <row r="1890" spans="1:10" ht="26.25" hidden="1" thickBot="1" x14ac:dyDescent="0.3">
      <c r="A1890" s="222"/>
      <c r="B1890" s="225"/>
      <c r="C1890" s="36" t="s">
        <v>623</v>
      </c>
      <c r="D1890" s="47" t="s">
        <v>12</v>
      </c>
      <c r="E1890" s="37">
        <v>2.5</v>
      </c>
      <c r="F1890" s="31">
        <v>23.065999999999999</v>
      </c>
      <c r="G1890" s="34">
        <f t="shared" si="31"/>
        <v>57.664999999999999</v>
      </c>
      <c r="H1890" s="35"/>
      <c r="I1890" s="31"/>
      <c r="J1890" s="156">
        <v>0</v>
      </c>
    </row>
    <row r="1891" spans="1:10" ht="26.25" hidden="1" thickBot="1" x14ac:dyDescent="0.3">
      <c r="A1891" s="222"/>
      <c r="B1891" s="225"/>
      <c r="C1891" s="36" t="s">
        <v>648</v>
      </c>
      <c r="D1891" s="36" t="s">
        <v>150</v>
      </c>
      <c r="E1891" s="37">
        <v>1</v>
      </c>
      <c r="F1891" s="34" t="s">
        <v>572</v>
      </c>
      <c r="G1891" s="34" t="str">
        <f t="shared" si="31"/>
        <v/>
      </c>
      <c r="H1891" s="35"/>
      <c r="I1891" s="31"/>
      <c r="J1891" s="156">
        <v>0</v>
      </c>
    </row>
    <row r="1892" spans="1:10" ht="15.75" hidden="1" thickBot="1" x14ac:dyDescent="0.3">
      <c r="A1892" s="223"/>
      <c r="B1892" s="226"/>
      <c r="C1892" s="36"/>
      <c r="D1892" s="36"/>
      <c r="E1892" s="37"/>
      <c r="F1892" s="31" t="s">
        <v>572</v>
      </c>
      <c r="G1892" s="31" t="str">
        <f t="shared" si="31"/>
        <v/>
      </c>
      <c r="H1892" s="35"/>
      <c r="I1892" s="31"/>
      <c r="J1892" s="156">
        <v>0</v>
      </c>
    </row>
    <row r="1893" spans="1:10" ht="15.75" hidden="1" thickBot="1" x14ac:dyDescent="0.3">
      <c r="A1893" s="221" t="s">
        <v>649</v>
      </c>
      <c r="B1893" s="224" t="str">
        <f>INDEX(Orçamentária!A:B,MATCH(Composições!A1893,Orçamentária!A:A,0),2)</f>
        <v>Difusor de ar retangular para insuflamento em três direções 371x208 mm</v>
      </c>
      <c r="C1893" s="41"/>
      <c r="D1893" s="26" t="str">
        <f>TRIM(INDEX(Orçamentária!C:C,MATCH(Composições!A1893,Orçamentária!A:A,0),1))</f>
        <v>un</v>
      </c>
      <c r="E1893" s="27"/>
      <c r="F1893" s="42" t="s">
        <v>572</v>
      </c>
      <c r="G1893" s="28" t="str">
        <f t="shared" si="31"/>
        <v/>
      </c>
      <c r="H1893" s="29"/>
      <c r="I1893" s="30"/>
      <c r="J1893" s="156">
        <v>0</v>
      </c>
    </row>
    <row r="1894" spans="1:10" ht="15.75" hidden="1" thickBot="1" x14ac:dyDescent="0.3">
      <c r="A1894" s="222"/>
      <c r="B1894" s="225"/>
      <c r="C1894" s="32"/>
      <c r="D1894" s="32"/>
      <c r="E1894" s="33"/>
      <c r="F1894" s="43" t="s">
        <v>572</v>
      </c>
      <c r="G1894" s="31" t="str">
        <f t="shared" si="31"/>
        <v/>
      </c>
      <c r="H1894" s="35"/>
      <c r="I1894" s="31"/>
      <c r="J1894" s="156">
        <v>0</v>
      </c>
    </row>
    <row r="1895" spans="1:10" ht="15.75" hidden="1" thickBot="1" x14ac:dyDescent="0.3">
      <c r="A1895" s="222"/>
      <c r="B1895" s="225"/>
      <c r="C1895" s="36" t="s">
        <v>52</v>
      </c>
      <c r="D1895" s="47" t="s">
        <v>12</v>
      </c>
      <c r="E1895" s="37">
        <v>2.5</v>
      </c>
      <c r="F1895" s="31">
        <v>17.470500000000001</v>
      </c>
      <c r="G1895" s="34">
        <f t="shared" si="31"/>
        <v>43.676250000000003</v>
      </c>
      <c r="H1895" s="39">
        <f>SUM(G1895:G1897)</f>
        <v>101.34125</v>
      </c>
      <c r="I1895" s="40"/>
      <c r="J1895" s="156">
        <v>0</v>
      </c>
    </row>
    <row r="1896" spans="1:10" ht="26.25" hidden="1" thickBot="1" x14ac:dyDescent="0.3">
      <c r="A1896" s="222"/>
      <c r="B1896" s="225"/>
      <c r="C1896" s="36" t="s">
        <v>623</v>
      </c>
      <c r="D1896" s="47" t="s">
        <v>12</v>
      </c>
      <c r="E1896" s="37">
        <v>2.5</v>
      </c>
      <c r="F1896" s="31">
        <v>23.065999999999999</v>
      </c>
      <c r="G1896" s="34">
        <f t="shared" si="31"/>
        <v>57.664999999999999</v>
      </c>
      <c r="H1896" s="35"/>
      <c r="I1896" s="31"/>
      <c r="J1896" s="156">
        <v>0</v>
      </c>
    </row>
    <row r="1897" spans="1:10" ht="39" hidden="1" thickBot="1" x14ac:dyDescent="0.3">
      <c r="A1897" s="222"/>
      <c r="B1897" s="225"/>
      <c r="C1897" s="36" t="s">
        <v>650</v>
      </c>
      <c r="D1897" s="36" t="s">
        <v>150</v>
      </c>
      <c r="E1897" s="37">
        <v>1</v>
      </c>
      <c r="F1897" s="34" t="s">
        <v>572</v>
      </c>
      <c r="G1897" s="34" t="str">
        <f t="shared" si="31"/>
        <v/>
      </c>
      <c r="H1897" s="35"/>
      <c r="I1897" s="31"/>
      <c r="J1897" s="156">
        <v>0</v>
      </c>
    </row>
    <row r="1898" spans="1:10" ht="15.75" hidden="1" thickBot="1" x14ac:dyDescent="0.3">
      <c r="A1898" s="223"/>
      <c r="B1898" s="226"/>
      <c r="C1898" s="36"/>
      <c r="D1898" s="36"/>
      <c r="E1898" s="37"/>
      <c r="F1898" s="31" t="s">
        <v>572</v>
      </c>
      <c r="G1898" s="31" t="str">
        <f t="shared" si="31"/>
        <v/>
      </c>
      <c r="H1898" s="35"/>
      <c r="I1898" s="31"/>
      <c r="J1898" s="156">
        <v>0</v>
      </c>
    </row>
    <row r="1899" spans="1:10" ht="15.75" hidden="1" thickBot="1" x14ac:dyDescent="0.3">
      <c r="A1899" s="221" t="s">
        <v>651</v>
      </c>
      <c r="B1899" s="224" t="str">
        <f>INDEX(Orçamentária!A:B,MATCH(Composições!A1899,Orçamentária!A:A,0),2)</f>
        <v>Difusor de ar retangular para insuflamento em uma direção 371x208 mm</v>
      </c>
      <c r="C1899" s="41"/>
      <c r="D1899" s="26" t="str">
        <f>TRIM(INDEX(Orçamentária!C:C,MATCH(Composições!A1899,Orçamentária!A:A,0),1))</f>
        <v>un</v>
      </c>
      <c r="E1899" s="27"/>
      <c r="F1899" s="42" t="s">
        <v>572</v>
      </c>
      <c r="G1899" s="28" t="str">
        <f t="shared" si="31"/>
        <v/>
      </c>
      <c r="H1899" s="29"/>
      <c r="I1899" s="30"/>
      <c r="J1899" s="156">
        <v>0</v>
      </c>
    </row>
    <row r="1900" spans="1:10" ht="15.75" hidden="1" thickBot="1" x14ac:dyDescent="0.3">
      <c r="A1900" s="222"/>
      <c r="B1900" s="225"/>
      <c r="C1900" s="32"/>
      <c r="D1900" s="32"/>
      <c r="E1900" s="33"/>
      <c r="F1900" s="43" t="s">
        <v>572</v>
      </c>
      <c r="G1900" s="31" t="str">
        <f t="shared" si="31"/>
        <v/>
      </c>
      <c r="H1900" s="35"/>
      <c r="I1900" s="31"/>
      <c r="J1900" s="156">
        <v>0</v>
      </c>
    </row>
    <row r="1901" spans="1:10" ht="15.75" hidden="1" thickBot="1" x14ac:dyDescent="0.3">
      <c r="A1901" s="222"/>
      <c r="B1901" s="225"/>
      <c r="C1901" s="36" t="s">
        <v>52</v>
      </c>
      <c r="D1901" s="47" t="s">
        <v>12</v>
      </c>
      <c r="E1901" s="37">
        <v>2.5</v>
      </c>
      <c r="F1901" s="31">
        <v>17.470500000000001</v>
      </c>
      <c r="G1901" s="31">
        <f t="shared" si="31"/>
        <v>43.676250000000003</v>
      </c>
      <c r="H1901" s="39">
        <f>SUM(G1901:G1903)</f>
        <v>101.34125</v>
      </c>
      <c r="I1901" s="40"/>
      <c r="J1901" s="156">
        <v>0</v>
      </c>
    </row>
    <row r="1902" spans="1:10" ht="26.25" hidden="1" thickBot="1" x14ac:dyDescent="0.3">
      <c r="A1902" s="222"/>
      <c r="B1902" s="225"/>
      <c r="C1902" s="36" t="s">
        <v>623</v>
      </c>
      <c r="D1902" s="47" t="s">
        <v>12</v>
      </c>
      <c r="E1902" s="37">
        <v>2.5</v>
      </c>
      <c r="F1902" s="31">
        <v>23.065999999999999</v>
      </c>
      <c r="G1902" s="31">
        <f t="shared" si="31"/>
        <v>57.664999999999999</v>
      </c>
      <c r="H1902" s="35"/>
      <c r="I1902" s="31"/>
      <c r="J1902" s="156">
        <v>0</v>
      </c>
    </row>
    <row r="1903" spans="1:10" ht="39" hidden="1" thickBot="1" x14ac:dyDescent="0.3">
      <c r="A1903" s="222"/>
      <c r="B1903" s="225"/>
      <c r="C1903" s="36" t="s">
        <v>652</v>
      </c>
      <c r="D1903" s="36" t="s">
        <v>150</v>
      </c>
      <c r="E1903" s="37">
        <v>1</v>
      </c>
      <c r="F1903" s="34" t="s">
        <v>572</v>
      </c>
      <c r="G1903" s="31" t="str">
        <f t="shared" si="31"/>
        <v/>
      </c>
      <c r="H1903" s="35"/>
      <c r="I1903" s="31"/>
      <c r="J1903" s="156">
        <v>0</v>
      </c>
    </row>
    <row r="1904" spans="1:10" ht="15.75" hidden="1" thickBot="1" x14ac:dyDescent="0.3">
      <c r="A1904" s="223"/>
      <c r="B1904" s="226"/>
      <c r="C1904" s="36"/>
      <c r="D1904" s="36"/>
      <c r="E1904" s="37"/>
      <c r="F1904" s="31" t="s">
        <v>572</v>
      </c>
      <c r="G1904" s="31" t="str">
        <f t="shared" si="31"/>
        <v/>
      </c>
      <c r="H1904" s="35"/>
      <c r="I1904" s="31"/>
      <c r="J1904" s="156">
        <v>0</v>
      </c>
    </row>
    <row r="1905" spans="1:10" ht="15.75" hidden="1" thickBot="1" x14ac:dyDescent="0.3">
      <c r="A1905" s="221" t="s">
        <v>653</v>
      </c>
      <c r="B1905" s="224" t="str">
        <f>INDEX(Orçamentária!A:B,MATCH(Composições!A1905,Orçamentária!A:A,0),2)</f>
        <v>Grelha para retorno retangular 425x225 mm</v>
      </c>
      <c r="C1905" s="41"/>
      <c r="D1905" s="26" t="str">
        <f>TRIM(INDEX(Orçamentária!C:C,MATCH(Composições!A1905,Orçamentária!A:A,0),1))</f>
        <v>un</v>
      </c>
      <c r="E1905" s="27"/>
      <c r="F1905" s="42" t="s">
        <v>572</v>
      </c>
      <c r="G1905" s="28" t="str">
        <f t="shared" si="31"/>
        <v/>
      </c>
      <c r="H1905" s="29"/>
      <c r="I1905" s="30"/>
      <c r="J1905" s="156">
        <v>0</v>
      </c>
    </row>
    <row r="1906" spans="1:10" ht="15.75" hidden="1" thickBot="1" x14ac:dyDescent="0.3">
      <c r="A1906" s="222"/>
      <c r="B1906" s="225"/>
      <c r="C1906" s="32"/>
      <c r="D1906" s="32"/>
      <c r="E1906" s="33"/>
      <c r="F1906" s="43" t="s">
        <v>572</v>
      </c>
      <c r="G1906" s="31" t="str">
        <f t="shared" si="31"/>
        <v/>
      </c>
      <c r="H1906" s="35"/>
      <c r="I1906" s="31"/>
      <c r="J1906" s="156">
        <v>0</v>
      </c>
    </row>
    <row r="1907" spans="1:10" ht="15.75" hidden="1" thickBot="1" x14ac:dyDescent="0.3">
      <c r="A1907" s="222"/>
      <c r="B1907" s="225"/>
      <c r="C1907" s="36" t="s">
        <v>52</v>
      </c>
      <c r="D1907" s="47" t="s">
        <v>12</v>
      </c>
      <c r="E1907" s="37">
        <v>3.5</v>
      </c>
      <c r="F1907" s="31">
        <v>17.470500000000001</v>
      </c>
      <c r="G1907" s="34">
        <f t="shared" si="31"/>
        <v>61.146750000000004</v>
      </c>
      <c r="H1907" s="39">
        <f>SUM(G1907:G1909)</f>
        <v>142.82774999999998</v>
      </c>
      <c r="I1907" s="40"/>
      <c r="J1907" s="156">
        <v>0</v>
      </c>
    </row>
    <row r="1908" spans="1:10" ht="26.25" hidden="1" thickBot="1" x14ac:dyDescent="0.3">
      <c r="A1908" s="222"/>
      <c r="B1908" s="225"/>
      <c r="C1908" s="36" t="s">
        <v>623</v>
      </c>
      <c r="D1908" s="47" t="s">
        <v>12</v>
      </c>
      <c r="E1908" s="37">
        <v>3.5</v>
      </c>
      <c r="F1908" s="31">
        <v>23.065999999999999</v>
      </c>
      <c r="G1908" s="34">
        <f t="shared" si="31"/>
        <v>80.730999999999995</v>
      </c>
      <c r="H1908" s="35"/>
      <c r="I1908" s="31"/>
      <c r="J1908" s="156">
        <v>0</v>
      </c>
    </row>
    <row r="1909" spans="1:10" ht="15.75" hidden="1" thickBot="1" x14ac:dyDescent="0.3">
      <c r="A1909" s="222"/>
      <c r="B1909" s="225"/>
      <c r="C1909" s="36" t="s">
        <v>654</v>
      </c>
      <c r="D1909" s="36" t="s">
        <v>150</v>
      </c>
      <c r="E1909" s="37">
        <v>1</v>
      </c>
      <c r="F1909" s="34">
        <v>0.95</v>
      </c>
      <c r="G1909" s="34">
        <f t="shared" si="31"/>
        <v>0.95</v>
      </c>
      <c r="H1909" s="35"/>
      <c r="I1909" s="31"/>
      <c r="J1909" s="156">
        <v>0</v>
      </c>
    </row>
    <row r="1910" spans="1:10" ht="15.75" hidden="1" thickBot="1" x14ac:dyDescent="0.3">
      <c r="A1910" s="223"/>
      <c r="B1910" s="226"/>
      <c r="C1910" s="36"/>
      <c r="D1910" s="36"/>
      <c r="E1910" s="37"/>
      <c r="F1910" s="31" t="s">
        <v>572</v>
      </c>
      <c r="G1910" s="31" t="str">
        <f t="shared" si="31"/>
        <v/>
      </c>
      <c r="H1910" s="35"/>
      <c r="I1910" s="31"/>
      <c r="J1910" s="156">
        <v>0</v>
      </c>
    </row>
    <row r="1911" spans="1:10" ht="15.75" hidden="1" thickBot="1" x14ac:dyDescent="0.3">
      <c r="A1911" s="221" t="s">
        <v>655</v>
      </c>
      <c r="B1911" s="224" t="str">
        <f>INDEX(Orçamentária!A:B,MATCH(Composições!A1911,Orçamentária!A:A,0),2)</f>
        <v>Grelha para retorno retangular 525x325 mm</v>
      </c>
      <c r="C1911" s="41"/>
      <c r="D1911" s="26" t="str">
        <f>TRIM(INDEX(Orçamentária!C:C,MATCH(Composições!A1911,Orçamentária!A:A,0),1))</f>
        <v>un</v>
      </c>
      <c r="E1911" s="27"/>
      <c r="F1911" s="42" t="s">
        <v>572</v>
      </c>
      <c r="G1911" s="28" t="str">
        <f t="shared" si="31"/>
        <v/>
      </c>
      <c r="H1911" s="29"/>
      <c r="I1911" s="30"/>
      <c r="J1911" s="156">
        <v>0</v>
      </c>
    </row>
    <row r="1912" spans="1:10" ht="15.75" hidden="1" thickBot="1" x14ac:dyDescent="0.3">
      <c r="A1912" s="222"/>
      <c r="B1912" s="225"/>
      <c r="C1912" s="32"/>
      <c r="D1912" s="32"/>
      <c r="E1912" s="33"/>
      <c r="F1912" s="43" t="s">
        <v>572</v>
      </c>
      <c r="G1912" s="31" t="str">
        <f t="shared" si="31"/>
        <v/>
      </c>
      <c r="H1912" s="35"/>
      <c r="I1912" s="31"/>
      <c r="J1912" s="156">
        <v>0</v>
      </c>
    </row>
    <row r="1913" spans="1:10" ht="15.75" hidden="1" thickBot="1" x14ac:dyDescent="0.3">
      <c r="A1913" s="222"/>
      <c r="B1913" s="225"/>
      <c r="C1913" s="36" t="s">
        <v>52</v>
      </c>
      <c r="D1913" s="47" t="s">
        <v>12</v>
      </c>
      <c r="E1913" s="37">
        <v>3.5</v>
      </c>
      <c r="F1913" s="31">
        <v>17.470500000000001</v>
      </c>
      <c r="G1913" s="31">
        <f t="shared" si="31"/>
        <v>61.146750000000004</v>
      </c>
      <c r="H1913" s="39">
        <f>SUM(G1913:G1915)</f>
        <v>142.82774999999998</v>
      </c>
      <c r="I1913" s="40"/>
      <c r="J1913" s="156">
        <v>0</v>
      </c>
    </row>
    <row r="1914" spans="1:10" ht="26.25" hidden="1" thickBot="1" x14ac:dyDescent="0.3">
      <c r="A1914" s="222"/>
      <c r="B1914" s="225"/>
      <c r="C1914" s="36" t="s">
        <v>623</v>
      </c>
      <c r="D1914" s="47" t="s">
        <v>12</v>
      </c>
      <c r="E1914" s="37">
        <v>3.5</v>
      </c>
      <c r="F1914" s="31">
        <v>23.065999999999999</v>
      </c>
      <c r="G1914" s="31">
        <f t="shared" si="31"/>
        <v>80.730999999999995</v>
      </c>
      <c r="H1914" s="35"/>
      <c r="I1914" s="31"/>
      <c r="J1914" s="156">
        <v>0</v>
      </c>
    </row>
    <row r="1915" spans="1:10" ht="15.75" hidden="1" thickBot="1" x14ac:dyDescent="0.3">
      <c r="A1915" s="222"/>
      <c r="B1915" s="225"/>
      <c r="C1915" s="36" t="s">
        <v>656</v>
      </c>
      <c r="D1915" s="36" t="s">
        <v>150</v>
      </c>
      <c r="E1915" s="37">
        <v>1</v>
      </c>
      <c r="F1915" s="31">
        <v>0.95</v>
      </c>
      <c r="G1915" s="31">
        <f t="shared" si="31"/>
        <v>0.95</v>
      </c>
      <c r="H1915" s="35"/>
      <c r="I1915" s="31"/>
      <c r="J1915" s="156">
        <v>0</v>
      </c>
    </row>
    <row r="1916" spans="1:10" ht="15.75" hidden="1" thickBot="1" x14ac:dyDescent="0.3">
      <c r="A1916" s="223"/>
      <c r="B1916" s="226"/>
      <c r="C1916" s="36"/>
      <c r="D1916" s="36"/>
      <c r="E1916" s="37"/>
      <c r="F1916" s="31" t="s">
        <v>572</v>
      </c>
      <c r="G1916" s="31" t="str">
        <f t="shared" si="31"/>
        <v/>
      </c>
      <c r="H1916" s="35"/>
      <c r="I1916" s="31"/>
      <c r="J1916" s="156">
        <v>0</v>
      </c>
    </row>
    <row r="1917" spans="1:10" ht="15.75" hidden="1" thickBot="1" x14ac:dyDescent="0.3">
      <c r="A1917" s="221" t="s">
        <v>657</v>
      </c>
      <c r="B1917" s="224" t="str">
        <f>INDEX(Orçamentária!A:B,MATCH(Composições!A1917,Orçamentária!A:A,0),2)</f>
        <v>Instalação de difusores, grelhas e acessórios de climatização reaproveitados</v>
      </c>
      <c r="C1917" s="41"/>
      <c r="D1917" s="26" t="str">
        <f>TRIM(INDEX(Orçamentária!C:C,MATCH(Composições!A1917,Orçamentária!A:A,0),1))</f>
        <v>un</v>
      </c>
      <c r="E1917" s="27"/>
      <c r="F1917" s="42" t="s">
        <v>572</v>
      </c>
      <c r="G1917" s="28" t="str">
        <f t="shared" si="31"/>
        <v/>
      </c>
      <c r="H1917" s="29"/>
      <c r="I1917" s="30"/>
      <c r="J1917" s="156">
        <v>0</v>
      </c>
    </row>
    <row r="1918" spans="1:10" ht="15.75" hidden="1" thickBot="1" x14ac:dyDescent="0.3">
      <c r="A1918" s="222"/>
      <c r="B1918" s="225"/>
      <c r="C1918" s="32"/>
      <c r="D1918" s="32"/>
      <c r="E1918" s="33"/>
      <c r="F1918" s="43" t="s">
        <v>572</v>
      </c>
      <c r="G1918" s="31" t="str">
        <f t="shared" si="31"/>
        <v/>
      </c>
      <c r="H1918" s="35"/>
      <c r="I1918" s="31"/>
      <c r="J1918" s="156">
        <v>0</v>
      </c>
    </row>
    <row r="1919" spans="1:10" ht="15.75" hidden="1" thickBot="1" x14ac:dyDescent="0.3">
      <c r="A1919" s="222"/>
      <c r="B1919" s="225"/>
      <c r="C1919" s="36" t="s">
        <v>52</v>
      </c>
      <c r="D1919" s="47" t="s">
        <v>12</v>
      </c>
      <c r="E1919" s="37">
        <v>2.5</v>
      </c>
      <c r="F1919" s="31">
        <v>17.470500000000001</v>
      </c>
      <c r="G1919" s="31">
        <f t="shared" si="31"/>
        <v>43.676250000000003</v>
      </c>
      <c r="H1919" s="39">
        <f>SUM(G1919:G1920)</f>
        <v>101.34125</v>
      </c>
      <c r="I1919" s="40"/>
      <c r="J1919" s="156">
        <v>0</v>
      </c>
    </row>
    <row r="1920" spans="1:10" ht="26.25" hidden="1" thickBot="1" x14ac:dyDescent="0.3">
      <c r="A1920" s="222"/>
      <c r="B1920" s="225"/>
      <c r="C1920" s="36" t="s">
        <v>623</v>
      </c>
      <c r="D1920" s="47" t="s">
        <v>12</v>
      </c>
      <c r="E1920" s="37">
        <v>2.5</v>
      </c>
      <c r="F1920" s="31">
        <v>23.065999999999999</v>
      </c>
      <c r="G1920" s="31">
        <f t="shared" si="31"/>
        <v>57.664999999999999</v>
      </c>
      <c r="H1920" s="35"/>
      <c r="I1920" s="31"/>
      <c r="J1920" s="156">
        <v>0</v>
      </c>
    </row>
    <row r="1921" spans="1:10" ht="15.75" hidden="1" thickBot="1" x14ac:dyDescent="0.3">
      <c r="A1921" s="223"/>
      <c r="B1921" s="226"/>
      <c r="C1921" s="36"/>
      <c r="D1921" s="36"/>
      <c r="E1921" s="37"/>
      <c r="F1921" s="31" t="s">
        <v>572</v>
      </c>
      <c r="G1921" s="31" t="str">
        <f t="shared" si="31"/>
        <v/>
      </c>
      <c r="H1921" s="35"/>
      <c r="I1921" s="31"/>
      <c r="J1921" s="156">
        <v>0</v>
      </c>
    </row>
    <row r="1922" spans="1:10" ht="15.75" hidden="1" thickBot="1" x14ac:dyDescent="0.3">
      <c r="A1922" s="221" t="s">
        <v>658</v>
      </c>
      <c r="B1922" s="224" t="str">
        <f>INDEX(Orçamentária!A:B,MATCH(Composições!A1922,Orçamentária!A:A,0),2)</f>
        <v>Instalação de exaustor reaproveitado</v>
      </c>
      <c r="C1922" s="41"/>
      <c r="D1922" s="26" t="str">
        <f>TRIM(INDEX(Orçamentária!C:C,MATCH(Composições!A1922,Orçamentária!A:A,0),1))</f>
        <v>un</v>
      </c>
      <c r="E1922" s="27"/>
      <c r="F1922" s="42" t="s">
        <v>572</v>
      </c>
      <c r="G1922" s="28" t="str">
        <f t="shared" si="31"/>
        <v/>
      </c>
      <c r="H1922" s="29"/>
      <c r="I1922" s="30"/>
      <c r="J1922" s="156">
        <v>0</v>
      </c>
    </row>
    <row r="1923" spans="1:10" ht="15.75" hidden="1" thickBot="1" x14ac:dyDescent="0.3">
      <c r="A1923" s="222"/>
      <c r="B1923" s="225"/>
      <c r="C1923" s="32"/>
      <c r="D1923" s="32"/>
      <c r="E1923" s="33"/>
      <c r="F1923" s="43" t="s">
        <v>572</v>
      </c>
      <c r="G1923" s="31" t="str">
        <f t="shared" si="31"/>
        <v/>
      </c>
      <c r="H1923" s="35"/>
      <c r="I1923" s="31"/>
      <c r="J1923" s="156">
        <v>0</v>
      </c>
    </row>
    <row r="1924" spans="1:10" ht="15.75" hidden="1" thickBot="1" x14ac:dyDescent="0.3">
      <c r="A1924" s="222"/>
      <c r="B1924" s="225"/>
      <c r="C1924" s="36" t="s">
        <v>30</v>
      </c>
      <c r="D1924" s="36" t="s">
        <v>12</v>
      </c>
      <c r="E1924" s="37">
        <v>1</v>
      </c>
      <c r="F1924" s="31">
        <v>22.268000000000001</v>
      </c>
      <c r="G1924" s="34">
        <f t="shared" si="31"/>
        <v>22.268000000000001</v>
      </c>
      <c r="H1924" s="39">
        <f>SUM(G1924:G1925)</f>
        <v>39.634</v>
      </c>
      <c r="I1924" s="40"/>
      <c r="J1924" s="156">
        <v>0</v>
      </c>
    </row>
    <row r="1925" spans="1:10" ht="15.75" hidden="1" thickBot="1" x14ac:dyDescent="0.3">
      <c r="A1925" s="222"/>
      <c r="B1925" s="225"/>
      <c r="C1925" s="36" t="s">
        <v>74</v>
      </c>
      <c r="D1925" s="47" t="s">
        <v>12</v>
      </c>
      <c r="E1925" s="37">
        <v>1</v>
      </c>
      <c r="F1925" s="31">
        <v>17.366</v>
      </c>
      <c r="G1925" s="34">
        <f t="shared" si="31"/>
        <v>17.366</v>
      </c>
      <c r="H1925" s="35"/>
      <c r="I1925" s="31"/>
      <c r="J1925" s="156">
        <v>0</v>
      </c>
    </row>
    <row r="1926" spans="1:10" ht="15.75" hidden="1" thickBot="1" x14ac:dyDescent="0.3">
      <c r="A1926" s="223"/>
      <c r="B1926" s="226"/>
      <c r="C1926" s="36"/>
      <c r="D1926" s="36"/>
      <c r="E1926" s="37"/>
      <c r="F1926" s="31" t="s">
        <v>572</v>
      </c>
      <c r="G1926" s="31" t="str">
        <f t="shared" si="31"/>
        <v/>
      </c>
      <c r="H1926" s="35"/>
      <c r="I1926" s="31"/>
      <c r="J1926" s="156">
        <v>0</v>
      </c>
    </row>
    <row r="1927" spans="1:10" ht="15.75" hidden="1" thickBot="1" x14ac:dyDescent="0.3">
      <c r="A1927" s="221" t="s">
        <v>659</v>
      </c>
      <c r="B1927" s="224" t="str">
        <f>INDEX(Orçamentária!A:B,MATCH(Composições!A1927,Orçamentária!A:A,0),2)</f>
        <v>Preparação para instalação de difusores/grelhas de ar em portas</v>
      </c>
      <c r="C1927" s="41"/>
      <c r="D1927" s="26" t="str">
        <f>TRIM(INDEX(Orçamentária!C:C,MATCH(Composições!A1927,Orçamentária!A:A,0),1))</f>
        <v>un</v>
      </c>
      <c r="E1927" s="27"/>
      <c r="F1927" s="42" t="s">
        <v>572</v>
      </c>
      <c r="G1927" s="28" t="str">
        <f t="shared" si="31"/>
        <v/>
      </c>
      <c r="H1927" s="29"/>
      <c r="I1927" s="30"/>
      <c r="J1927" s="156">
        <v>0</v>
      </c>
    </row>
    <row r="1928" spans="1:10" ht="15.75" hidden="1" thickBot="1" x14ac:dyDescent="0.3">
      <c r="A1928" s="222"/>
      <c r="B1928" s="225"/>
      <c r="C1928" s="32"/>
      <c r="D1928" s="32"/>
      <c r="E1928" s="33"/>
      <c r="F1928" s="43" t="s">
        <v>572</v>
      </c>
      <c r="G1928" s="31" t="str">
        <f t="shared" si="31"/>
        <v/>
      </c>
      <c r="H1928" s="35"/>
      <c r="I1928" s="31"/>
      <c r="J1928" s="156">
        <v>0</v>
      </c>
    </row>
    <row r="1929" spans="1:10" ht="15.75" hidden="1" thickBot="1" x14ac:dyDescent="0.3">
      <c r="A1929" s="222"/>
      <c r="B1929" s="225"/>
      <c r="C1929" s="36" t="s">
        <v>660</v>
      </c>
      <c r="D1929" s="36" t="s">
        <v>12</v>
      </c>
      <c r="E1929" s="37">
        <v>0.75</v>
      </c>
      <c r="F1929" s="31">
        <v>22.268000000000001</v>
      </c>
      <c r="G1929" s="34">
        <f t="shared" si="31"/>
        <v>16.701000000000001</v>
      </c>
      <c r="H1929" s="39">
        <f>SUM(G1929:G1930)</f>
        <v>30.552</v>
      </c>
      <c r="I1929" s="40"/>
      <c r="J1929" s="156">
        <v>0</v>
      </c>
    </row>
    <row r="1930" spans="1:10" ht="15.75" hidden="1" thickBot="1" x14ac:dyDescent="0.3">
      <c r="A1930" s="222"/>
      <c r="B1930" s="225"/>
      <c r="C1930" s="36" t="s">
        <v>132</v>
      </c>
      <c r="D1930" s="47" t="s">
        <v>12</v>
      </c>
      <c r="E1930" s="37">
        <v>0.75</v>
      </c>
      <c r="F1930" s="31">
        <v>18.468</v>
      </c>
      <c r="G1930" s="34">
        <f t="shared" si="31"/>
        <v>13.850999999999999</v>
      </c>
      <c r="H1930" s="35"/>
      <c r="I1930" s="31"/>
      <c r="J1930" s="156">
        <v>0</v>
      </c>
    </row>
    <row r="1931" spans="1:10" ht="15.75" hidden="1" thickBot="1" x14ac:dyDescent="0.3">
      <c r="A1931" s="223"/>
      <c r="B1931" s="226"/>
      <c r="C1931" s="36"/>
      <c r="D1931" s="36"/>
      <c r="E1931" s="37"/>
      <c r="F1931" s="31" t="s">
        <v>572</v>
      </c>
      <c r="G1931" s="31" t="str">
        <f t="shared" si="31"/>
        <v/>
      </c>
      <c r="H1931" s="35"/>
      <c r="I1931" s="31"/>
      <c r="J1931" s="156">
        <v>0</v>
      </c>
    </row>
    <row r="1932" spans="1:10" ht="15.75" hidden="1" thickBot="1" x14ac:dyDescent="0.3">
      <c r="A1932" s="221" t="s">
        <v>661</v>
      </c>
      <c r="B1932" s="224" t="str">
        <f>INDEX(Orçamentária!A:B,MATCH(Composições!A1932,Orçamentária!A:A,0),2)</f>
        <v>Bomba para condensado de ar-condicionado para instalação oculta</v>
      </c>
      <c r="C1932" s="41"/>
      <c r="D1932" s="26" t="str">
        <f>TRIM(INDEX(Orçamentária!C:C,MATCH(Composições!A1932,Orçamentária!A:A,0),1))</f>
        <v>un</v>
      </c>
      <c r="E1932" s="27"/>
      <c r="F1932" s="42" t="s">
        <v>572</v>
      </c>
      <c r="G1932" s="28" t="str">
        <f t="shared" si="31"/>
        <v/>
      </c>
      <c r="H1932" s="29"/>
      <c r="I1932" s="30"/>
      <c r="J1932" s="156">
        <v>0</v>
      </c>
    </row>
    <row r="1933" spans="1:10" ht="15.75" hidden="1" thickBot="1" x14ac:dyDescent="0.3">
      <c r="A1933" s="222"/>
      <c r="B1933" s="225"/>
      <c r="C1933" s="32"/>
      <c r="D1933" s="32"/>
      <c r="E1933" s="33"/>
      <c r="F1933" s="43" t="s">
        <v>572</v>
      </c>
      <c r="G1933" s="31" t="str">
        <f t="shared" si="31"/>
        <v/>
      </c>
      <c r="H1933" s="35"/>
      <c r="I1933" s="31"/>
      <c r="J1933" s="156">
        <v>0</v>
      </c>
    </row>
    <row r="1934" spans="1:10" ht="15.75" hidden="1" thickBot="1" x14ac:dyDescent="0.3">
      <c r="A1934" s="222"/>
      <c r="B1934" s="225"/>
      <c r="C1934" s="36" t="s">
        <v>74</v>
      </c>
      <c r="D1934" s="36" t="s">
        <v>12</v>
      </c>
      <c r="E1934" s="37">
        <v>1</v>
      </c>
      <c r="F1934" s="31">
        <v>17.366</v>
      </c>
      <c r="G1934" s="34">
        <f t="shared" si="31"/>
        <v>17.366</v>
      </c>
      <c r="H1934" s="39">
        <f>SUM(G1934:G1936)</f>
        <v>39.634</v>
      </c>
      <c r="I1934" s="40"/>
      <c r="J1934" s="156">
        <v>0</v>
      </c>
    </row>
    <row r="1935" spans="1:10" ht="15.75" hidden="1" thickBot="1" x14ac:dyDescent="0.3">
      <c r="A1935" s="222"/>
      <c r="B1935" s="225"/>
      <c r="C1935" s="36" t="s">
        <v>30</v>
      </c>
      <c r="D1935" s="36" t="s">
        <v>12</v>
      </c>
      <c r="E1935" s="37">
        <v>1</v>
      </c>
      <c r="F1935" s="31">
        <v>22.268000000000001</v>
      </c>
      <c r="G1935" s="34">
        <f t="shared" si="31"/>
        <v>22.268000000000001</v>
      </c>
      <c r="H1935" s="35"/>
      <c r="I1935" s="31"/>
      <c r="J1935" s="156">
        <v>0</v>
      </c>
    </row>
    <row r="1936" spans="1:10" ht="26.25" hidden="1" thickBot="1" x14ac:dyDescent="0.3">
      <c r="A1936" s="222"/>
      <c r="B1936" s="225"/>
      <c r="C1936" s="36" t="s">
        <v>662</v>
      </c>
      <c r="D1936" s="36" t="s">
        <v>20</v>
      </c>
      <c r="E1936" s="37">
        <v>1</v>
      </c>
      <c r="F1936" s="34" t="s">
        <v>572</v>
      </c>
      <c r="G1936" s="31" t="str">
        <f t="shared" si="31"/>
        <v/>
      </c>
      <c r="H1936" s="35"/>
      <c r="I1936" s="31"/>
      <c r="J1936" s="156">
        <v>0</v>
      </c>
    </row>
    <row r="1937" spans="1:10" ht="15.75" hidden="1" thickBot="1" x14ac:dyDescent="0.3">
      <c r="A1937" s="223"/>
      <c r="B1937" s="226"/>
      <c r="C1937" s="36"/>
      <c r="D1937" s="36"/>
      <c r="E1937" s="37"/>
      <c r="F1937" s="31" t="s">
        <v>572</v>
      </c>
      <c r="G1937" s="31" t="str">
        <f t="shared" si="31"/>
        <v/>
      </c>
      <c r="H1937" s="35"/>
      <c r="I1937" s="31"/>
      <c r="J1937" s="156">
        <v>0</v>
      </c>
    </row>
    <row r="1938" spans="1:10" ht="15.75" hidden="1" thickBot="1" x14ac:dyDescent="0.3">
      <c r="A1938" s="221" t="s">
        <v>663</v>
      </c>
      <c r="B1938" s="224" t="str">
        <f>INDEX(Orçamentária!A:B,MATCH(Composições!A1938,Orçamentária!A:A,0),2)</f>
        <v>Fita aluminizada para refrigeração 48 mm</v>
      </c>
      <c r="C1938" s="41"/>
      <c r="D1938" s="26" t="str">
        <f>TRIM(INDEX(Orçamentária!C:C,MATCH(Composições!A1938,Orçamentária!A:A,0),1))</f>
        <v>m</v>
      </c>
      <c r="E1938" s="27"/>
      <c r="F1938" s="42" t="s">
        <v>572</v>
      </c>
      <c r="G1938" s="28" t="str">
        <f t="shared" si="31"/>
        <v/>
      </c>
      <c r="H1938" s="29"/>
      <c r="I1938" s="30"/>
      <c r="J1938" s="156">
        <v>0</v>
      </c>
    </row>
    <row r="1939" spans="1:10" ht="15.75" hidden="1" thickBot="1" x14ac:dyDescent="0.3">
      <c r="A1939" s="222"/>
      <c r="B1939" s="225"/>
      <c r="C1939" s="32"/>
      <c r="D1939" s="32"/>
      <c r="E1939" s="33"/>
      <c r="F1939" s="43" t="s">
        <v>572</v>
      </c>
      <c r="G1939" s="31" t="str">
        <f t="shared" si="31"/>
        <v/>
      </c>
      <c r="H1939" s="35"/>
      <c r="I1939" s="31"/>
      <c r="J1939" s="156">
        <v>0</v>
      </c>
    </row>
    <row r="1940" spans="1:10" ht="15.75" hidden="1" thickBot="1" x14ac:dyDescent="0.3">
      <c r="A1940" s="222"/>
      <c r="B1940" s="225"/>
      <c r="C1940" s="36" t="s">
        <v>52</v>
      </c>
      <c r="D1940" s="47" t="s">
        <v>12</v>
      </c>
      <c r="E1940" s="37">
        <v>0.05</v>
      </c>
      <c r="F1940" s="31">
        <v>17.470500000000001</v>
      </c>
      <c r="G1940" s="31">
        <f t="shared" si="31"/>
        <v>0.87352500000000011</v>
      </c>
      <c r="H1940" s="39">
        <f>SUM(G1940:G1941)</f>
        <v>0.87352500000000011</v>
      </c>
      <c r="I1940" s="40"/>
      <c r="J1940" s="156">
        <v>0</v>
      </c>
    </row>
    <row r="1941" spans="1:10" ht="15.75" hidden="1" thickBot="1" x14ac:dyDescent="0.3">
      <c r="A1941" s="222"/>
      <c r="B1941" s="225"/>
      <c r="C1941" s="36" t="s">
        <v>664</v>
      </c>
      <c r="D1941" s="47" t="s">
        <v>94</v>
      </c>
      <c r="E1941" s="37">
        <v>1</v>
      </c>
      <c r="F1941" s="31" t="s">
        <v>572</v>
      </c>
      <c r="G1941" s="31" t="str">
        <f t="shared" ref="G1941:G2004" si="32">IF(ISNUMBER(F1941),E1941*F1941,"")</f>
        <v/>
      </c>
      <c r="H1941" s="35"/>
      <c r="I1941" s="31"/>
      <c r="J1941" s="156">
        <v>0</v>
      </c>
    </row>
    <row r="1942" spans="1:10" ht="15.75" hidden="1" thickBot="1" x14ac:dyDescent="0.3">
      <c r="A1942" s="223"/>
      <c r="B1942" s="226"/>
      <c r="C1942" s="36"/>
      <c r="D1942" s="36"/>
      <c r="E1942" s="37"/>
      <c r="F1942" s="31" t="s">
        <v>572</v>
      </c>
      <c r="G1942" s="31" t="str">
        <f t="shared" si="32"/>
        <v/>
      </c>
      <c r="H1942" s="35"/>
      <c r="I1942" s="31"/>
      <c r="J1942" s="156">
        <v>0</v>
      </c>
    </row>
    <row r="1943" spans="1:10" ht="15.75" hidden="1" thickBot="1" x14ac:dyDescent="0.3">
      <c r="A1943" s="221" t="s">
        <v>665</v>
      </c>
      <c r="B1943" s="224" t="str">
        <f>INDEX(Orçamentária!A:B,MATCH(Composições!A1943,Orçamentária!A:A,0),2)</f>
        <v>Fita PVC 100 mm para acabamento em refrigeração</v>
      </c>
      <c r="C1943" s="41"/>
      <c r="D1943" s="26" t="str">
        <f>TRIM(INDEX(Orçamentária!C:C,MATCH(Composições!A1943,Orçamentária!A:A,0),1))</f>
        <v>m</v>
      </c>
      <c r="E1943" s="27"/>
      <c r="F1943" s="42" t="s">
        <v>572</v>
      </c>
      <c r="G1943" s="28" t="str">
        <f t="shared" si="32"/>
        <v/>
      </c>
      <c r="H1943" s="29"/>
      <c r="I1943" s="30"/>
      <c r="J1943" s="156">
        <v>0</v>
      </c>
    </row>
    <row r="1944" spans="1:10" ht="15.75" hidden="1" thickBot="1" x14ac:dyDescent="0.3">
      <c r="A1944" s="222"/>
      <c r="B1944" s="225"/>
      <c r="C1944" s="32"/>
      <c r="D1944" s="32"/>
      <c r="E1944" s="33"/>
      <c r="F1944" s="43" t="s">
        <v>572</v>
      </c>
      <c r="G1944" s="31" t="str">
        <f t="shared" si="32"/>
        <v/>
      </c>
      <c r="H1944" s="35"/>
      <c r="I1944" s="31"/>
      <c r="J1944" s="156">
        <v>0</v>
      </c>
    </row>
    <row r="1945" spans="1:10" ht="15.75" hidden="1" thickBot="1" x14ac:dyDescent="0.3">
      <c r="A1945" s="222"/>
      <c r="B1945" s="225"/>
      <c r="C1945" s="36" t="s">
        <v>52</v>
      </c>
      <c r="D1945" s="47" t="s">
        <v>12</v>
      </c>
      <c r="E1945" s="37">
        <v>0.05</v>
      </c>
      <c r="F1945" s="31">
        <v>17.470500000000001</v>
      </c>
      <c r="G1945" s="31">
        <f t="shared" si="32"/>
        <v>0.87352500000000011</v>
      </c>
      <c r="H1945" s="39">
        <f>SUM(G1945:G1946)</f>
        <v>0.87352500000000011</v>
      </c>
      <c r="I1945" s="40"/>
      <c r="J1945" s="156">
        <v>0</v>
      </c>
    </row>
    <row r="1946" spans="1:10" ht="15.75" hidden="1" thickBot="1" x14ac:dyDescent="0.3">
      <c r="A1946" s="222"/>
      <c r="B1946" s="225"/>
      <c r="C1946" s="36" t="s">
        <v>666</v>
      </c>
      <c r="D1946" s="47" t="s">
        <v>94</v>
      </c>
      <c r="E1946" s="37">
        <v>1</v>
      </c>
      <c r="F1946" s="31" t="s">
        <v>572</v>
      </c>
      <c r="G1946" s="31" t="str">
        <f t="shared" si="32"/>
        <v/>
      </c>
      <c r="H1946" s="35"/>
      <c r="I1946" s="31"/>
      <c r="J1946" s="156">
        <v>0</v>
      </c>
    </row>
    <row r="1947" spans="1:10" ht="15.75" hidden="1" thickBot="1" x14ac:dyDescent="0.3">
      <c r="A1947" s="223"/>
      <c r="B1947" s="226"/>
      <c r="C1947" s="36"/>
      <c r="D1947" s="36"/>
      <c r="E1947" s="37"/>
      <c r="F1947" s="31" t="s">
        <v>572</v>
      </c>
      <c r="G1947" s="31" t="str">
        <f t="shared" si="32"/>
        <v/>
      </c>
      <c r="H1947" s="35"/>
      <c r="I1947" s="31"/>
      <c r="J1947" s="156">
        <v>0</v>
      </c>
    </row>
    <row r="1948" spans="1:10" ht="15.75" hidden="1" thickBot="1" x14ac:dyDescent="0.3">
      <c r="A1948" s="221" t="s">
        <v>667</v>
      </c>
      <c r="B1948" s="224" t="str">
        <f>INDEX(Orçamentária!A:B,MATCH(Composições!A1948,Orçamentária!A:A,0),2)</f>
        <v>Mangueira emborrachada 3/4" para água gelada</v>
      </c>
      <c r="C1948" s="41"/>
      <c r="D1948" s="26" t="str">
        <f>TRIM(INDEX(Orçamentária!C:C,MATCH(Composições!A1948,Orçamentária!A:A,0),1))</f>
        <v>m</v>
      </c>
      <c r="E1948" s="27"/>
      <c r="F1948" s="42" t="s">
        <v>572</v>
      </c>
      <c r="G1948" s="28" t="str">
        <f t="shared" si="32"/>
        <v/>
      </c>
      <c r="H1948" s="29"/>
      <c r="I1948" s="30"/>
      <c r="J1948" s="156">
        <v>0</v>
      </c>
    </row>
    <row r="1949" spans="1:10" ht="15.75" hidden="1" thickBot="1" x14ac:dyDescent="0.3">
      <c r="A1949" s="222"/>
      <c r="B1949" s="225"/>
      <c r="C1949" s="32"/>
      <c r="D1949" s="32"/>
      <c r="E1949" s="33"/>
      <c r="F1949" s="43" t="s">
        <v>572</v>
      </c>
      <c r="G1949" s="31" t="str">
        <f t="shared" si="32"/>
        <v/>
      </c>
      <c r="H1949" s="35"/>
      <c r="I1949" s="31"/>
      <c r="J1949" s="156">
        <v>0</v>
      </c>
    </row>
    <row r="1950" spans="1:10" ht="15.75" hidden="1" thickBot="1" x14ac:dyDescent="0.3">
      <c r="A1950" s="222"/>
      <c r="B1950" s="225"/>
      <c r="C1950" s="36" t="s">
        <v>52</v>
      </c>
      <c r="D1950" s="47" t="s">
        <v>12</v>
      </c>
      <c r="E1950" s="37">
        <v>0.05</v>
      </c>
      <c r="F1950" s="31">
        <v>17.470500000000001</v>
      </c>
      <c r="G1950" s="31">
        <f t="shared" si="32"/>
        <v>0.87352500000000011</v>
      </c>
      <c r="H1950" s="39">
        <f>SUM(G1950:G1951)</f>
        <v>0.87352500000000011</v>
      </c>
      <c r="I1950" s="40"/>
      <c r="J1950" s="156">
        <v>0</v>
      </c>
    </row>
    <row r="1951" spans="1:10" ht="15.75" hidden="1" thickBot="1" x14ac:dyDescent="0.3">
      <c r="A1951" s="222"/>
      <c r="B1951" s="225"/>
      <c r="C1951" s="36" t="s">
        <v>668</v>
      </c>
      <c r="D1951" s="47" t="s">
        <v>94</v>
      </c>
      <c r="E1951" s="37">
        <v>1</v>
      </c>
      <c r="F1951" s="31" t="s">
        <v>572</v>
      </c>
      <c r="G1951" s="31" t="str">
        <f t="shared" si="32"/>
        <v/>
      </c>
      <c r="H1951" s="35"/>
      <c r="I1951" s="31"/>
      <c r="J1951" s="156">
        <v>0</v>
      </c>
    </row>
    <row r="1952" spans="1:10" ht="15.75" hidden="1" thickBot="1" x14ac:dyDescent="0.3">
      <c r="A1952" s="223"/>
      <c r="B1952" s="226"/>
      <c r="C1952" s="36"/>
      <c r="D1952" s="36"/>
      <c r="E1952" s="37"/>
      <c r="F1952" s="31" t="s">
        <v>572</v>
      </c>
      <c r="G1952" s="31" t="str">
        <f t="shared" si="32"/>
        <v/>
      </c>
      <c r="H1952" s="35"/>
      <c r="I1952" s="31"/>
      <c r="J1952" s="156">
        <v>0</v>
      </c>
    </row>
    <row r="1953" spans="1:10" ht="15.75" hidden="1" thickBot="1" x14ac:dyDescent="0.3">
      <c r="A1953" s="221" t="s">
        <v>669</v>
      </c>
      <c r="B1953" s="224" t="str">
        <f>INDEX(Orçamentária!A:B,MATCH(Composições!A1953,Orçamentária!A:A,0),2)</f>
        <v>Suporte para unidade condensadora de aparelho split</v>
      </c>
      <c r="C1953" s="41"/>
      <c r="D1953" s="26" t="str">
        <f>TRIM(INDEX(Orçamentária!C:C,MATCH(Composições!A1953,Orçamentária!A:A,0),1))</f>
        <v>un</v>
      </c>
      <c r="E1953" s="27"/>
      <c r="F1953" s="42" t="s">
        <v>572</v>
      </c>
      <c r="G1953" s="28" t="str">
        <f t="shared" si="32"/>
        <v/>
      </c>
      <c r="H1953" s="29"/>
      <c r="I1953" s="30"/>
      <c r="J1953" s="156">
        <v>0</v>
      </c>
    </row>
    <row r="1954" spans="1:10" ht="15.75" hidden="1" thickBot="1" x14ac:dyDescent="0.3">
      <c r="A1954" s="222"/>
      <c r="B1954" s="225"/>
      <c r="C1954" s="32"/>
      <c r="D1954" s="32"/>
      <c r="E1954" s="33"/>
      <c r="F1954" s="43" t="s">
        <v>572</v>
      </c>
      <c r="G1954" s="31" t="str">
        <f t="shared" si="32"/>
        <v/>
      </c>
      <c r="H1954" s="35"/>
      <c r="I1954" s="31"/>
      <c r="J1954" s="156">
        <v>0</v>
      </c>
    </row>
    <row r="1955" spans="1:10" ht="15.75" hidden="1" thickBot="1" x14ac:dyDescent="0.3">
      <c r="A1955" s="222"/>
      <c r="B1955" s="225"/>
      <c r="C1955" s="36" t="s">
        <v>670</v>
      </c>
      <c r="D1955" s="47" t="s">
        <v>12</v>
      </c>
      <c r="E1955" s="37">
        <v>0.85099999999999998</v>
      </c>
      <c r="F1955" s="31">
        <v>21.973499999999998</v>
      </c>
      <c r="G1955" s="34">
        <f t="shared" si="32"/>
        <v>18.699448499999999</v>
      </c>
      <c r="H1955" s="39">
        <f>SUM(G1955:G1957)</f>
        <v>33.930646499999995</v>
      </c>
      <c r="I1955" s="40"/>
      <c r="J1955" s="156">
        <v>0</v>
      </c>
    </row>
    <row r="1956" spans="1:10" ht="15.75" hidden="1" thickBot="1" x14ac:dyDescent="0.3">
      <c r="A1956" s="222"/>
      <c r="B1956" s="225"/>
      <c r="C1956" s="36" t="s">
        <v>671</v>
      </c>
      <c r="D1956" s="47" t="s">
        <v>12</v>
      </c>
      <c r="E1956" s="37">
        <v>0.85099999999999998</v>
      </c>
      <c r="F1956" s="31">
        <v>17.898</v>
      </c>
      <c r="G1956" s="34">
        <f t="shared" si="32"/>
        <v>15.231197999999999</v>
      </c>
      <c r="H1956" s="35"/>
      <c r="I1956" s="31"/>
      <c r="J1956" s="156">
        <v>0</v>
      </c>
    </row>
    <row r="1957" spans="1:10" ht="15.75" hidden="1" thickBot="1" x14ac:dyDescent="0.3">
      <c r="A1957" s="222"/>
      <c r="B1957" s="225"/>
      <c r="C1957" s="36" t="s">
        <v>672</v>
      </c>
      <c r="D1957" s="36" t="s">
        <v>150</v>
      </c>
      <c r="E1957" s="37">
        <v>1</v>
      </c>
      <c r="F1957" s="34" t="s">
        <v>572</v>
      </c>
      <c r="G1957" s="34" t="str">
        <f t="shared" si="32"/>
        <v/>
      </c>
      <c r="H1957" s="35"/>
      <c r="I1957" s="31"/>
      <c r="J1957" s="156">
        <v>0</v>
      </c>
    </row>
    <row r="1958" spans="1:10" ht="15.75" hidden="1" thickBot="1" x14ac:dyDescent="0.3">
      <c r="A1958" s="223"/>
      <c r="B1958" s="226"/>
      <c r="C1958" s="36"/>
      <c r="D1958" s="36"/>
      <c r="E1958" s="37"/>
      <c r="F1958" s="31" t="s">
        <v>572</v>
      </c>
      <c r="G1958" s="31" t="str">
        <f t="shared" si="32"/>
        <v/>
      </c>
      <c r="H1958" s="35"/>
      <c r="I1958" s="31"/>
      <c r="J1958" s="156">
        <v>0</v>
      </c>
    </row>
    <row r="1959" spans="1:10" ht="15.75" hidden="1" thickBot="1" x14ac:dyDescent="0.3">
      <c r="A1959" s="221" t="s">
        <v>673</v>
      </c>
      <c r="B1959" s="224" t="str">
        <f>INDEX(Orçamentária!A:B,MATCH(Composições!A1959,Orçamentária!A:A,0),2)</f>
        <v>Suporte para unidade evaporadora de aparelho split ou fancolete</v>
      </c>
      <c r="C1959" s="41"/>
      <c r="D1959" s="26" t="str">
        <f>TRIM(INDEX(Orçamentária!C:C,MATCH(Composições!A1959,Orçamentária!A:A,0),1))</f>
        <v>un</v>
      </c>
      <c r="E1959" s="27"/>
      <c r="F1959" s="42" t="s">
        <v>572</v>
      </c>
      <c r="G1959" s="28" t="str">
        <f t="shared" si="32"/>
        <v/>
      </c>
      <c r="H1959" s="29"/>
      <c r="I1959" s="30"/>
      <c r="J1959" s="156">
        <v>0</v>
      </c>
    </row>
    <row r="1960" spans="1:10" ht="15.75" hidden="1" thickBot="1" x14ac:dyDescent="0.3">
      <c r="A1960" s="222"/>
      <c r="B1960" s="225"/>
      <c r="C1960" s="32"/>
      <c r="D1960" s="32"/>
      <c r="E1960" s="33"/>
      <c r="F1960" s="43" t="s">
        <v>572</v>
      </c>
      <c r="G1960" s="31" t="str">
        <f t="shared" si="32"/>
        <v/>
      </c>
      <c r="H1960" s="35"/>
      <c r="I1960" s="31"/>
      <c r="J1960" s="156">
        <v>0</v>
      </c>
    </row>
    <row r="1961" spans="1:10" ht="15.75" hidden="1" thickBot="1" x14ac:dyDescent="0.3">
      <c r="A1961" s="222"/>
      <c r="B1961" s="225"/>
      <c r="C1961" s="36" t="s">
        <v>670</v>
      </c>
      <c r="D1961" s="47" t="s">
        <v>12</v>
      </c>
      <c r="E1961" s="37">
        <v>0.85099999999999998</v>
      </c>
      <c r="F1961" s="31">
        <v>21.973499999999998</v>
      </c>
      <c r="G1961" s="34">
        <f t="shared" si="32"/>
        <v>18.699448499999999</v>
      </c>
      <c r="H1961" s="39">
        <f>SUM(G1961:G1963)</f>
        <v>33.930646499999995</v>
      </c>
      <c r="I1961" s="40"/>
      <c r="J1961" s="156">
        <v>0</v>
      </c>
    </row>
    <row r="1962" spans="1:10" ht="15.75" hidden="1" thickBot="1" x14ac:dyDescent="0.3">
      <c r="A1962" s="222"/>
      <c r="B1962" s="225"/>
      <c r="C1962" s="36" t="s">
        <v>671</v>
      </c>
      <c r="D1962" s="47" t="s">
        <v>12</v>
      </c>
      <c r="E1962" s="37">
        <v>0.85099999999999998</v>
      </c>
      <c r="F1962" s="31">
        <v>17.898</v>
      </c>
      <c r="G1962" s="34">
        <f t="shared" si="32"/>
        <v>15.231197999999999</v>
      </c>
      <c r="H1962" s="35"/>
      <c r="I1962" s="31"/>
      <c r="J1962" s="156">
        <v>0</v>
      </c>
    </row>
    <row r="1963" spans="1:10" ht="15.75" hidden="1" thickBot="1" x14ac:dyDescent="0.3">
      <c r="A1963" s="222"/>
      <c r="B1963" s="225"/>
      <c r="C1963" s="36" t="s">
        <v>674</v>
      </c>
      <c r="D1963" s="36" t="s">
        <v>150</v>
      </c>
      <c r="E1963" s="37">
        <v>1</v>
      </c>
      <c r="F1963" s="34" t="s">
        <v>572</v>
      </c>
      <c r="G1963" s="34" t="str">
        <f t="shared" si="32"/>
        <v/>
      </c>
      <c r="H1963" s="35"/>
      <c r="I1963" s="31"/>
      <c r="J1963" s="156">
        <v>0</v>
      </c>
    </row>
    <row r="1964" spans="1:10" ht="15.75" hidden="1" thickBot="1" x14ac:dyDescent="0.3">
      <c r="A1964" s="223"/>
      <c r="B1964" s="226"/>
      <c r="C1964" s="36"/>
      <c r="D1964" s="36"/>
      <c r="E1964" s="37"/>
      <c r="F1964" s="31" t="s">
        <v>572</v>
      </c>
      <c r="G1964" s="31" t="str">
        <f t="shared" si="32"/>
        <v/>
      </c>
      <c r="H1964" s="35"/>
      <c r="I1964" s="31"/>
      <c r="J1964" s="156">
        <v>0</v>
      </c>
    </row>
    <row r="1965" spans="1:10" ht="15.75" hidden="1" thickBot="1" x14ac:dyDescent="0.3">
      <c r="A1965" s="221" t="s">
        <v>675</v>
      </c>
      <c r="B1965" s="224" t="str">
        <f>INDEX(Orçamentária!A:B,MATCH(Composições!A1965,Orçamentária!A:A,0),2)</f>
        <v>Filtro em Y 1"</v>
      </c>
      <c r="C1965" s="41"/>
      <c r="D1965" s="26" t="str">
        <f>TRIM(INDEX(Orçamentária!C:C,MATCH(Composições!A1965,Orçamentária!A:A,0),1))</f>
        <v>un</v>
      </c>
      <c r="E1965" s="27"/>
      <c r="F1965" s="42" t="s">
        <v>572</v>
      </c>
      <c r="G1965" s="28" t="str">
        <f t="shared" si="32"/>
        <v/>
      </c>
      <c r="H1965" s="29"/>
      <c r="I1965" s="30"/>
      <c r="J1965" s="156">
        <v>0</v>
      </c>
    </row>
    <row r="1966" spans="1:10" ht="15.75" hidden="1" thickBot="1" x14ac:dyDescent="0.3">
      <c r="A1966" s="222"/>
      <c r="B1966" s="225"/>
      <c r="C1966" s="32"/>
      <c r="D1966" s="32"/>
      <c r="E1966" s="33"/>
      <c r="F1966" s="43" t="s">
        <v>572</v>
      </c>
      <c r="G1966" s="31" t="str">
        <f t="shared" si="32"/>
        <v/>
      </c>
      <c r="H1966" s="35"/>
      <c r="I1966" s="31"/>
      <c r="J1966" s="156">
        <v>0</v>
      </c>
    </row>
    <row r="1967" spans="1:10" ht="26.25" hidden="1" thickBot="1" x14ac:dyDescent="0.3">
      <c r="A1967" s="222"/>
      <c r="B1967" s="225"/>
      <c r="C1967" s="36" t="s">
        <v>110</v>
      </c>
      <c r="D1967" s="47" t="s">
        <v>12</v>
      </c>
      <c r="E1967" s="37">
        <v>0.77449999999999997</v>
      </c>
      <c r="F1967" s="31">
        <v>16.891000000000002</v>
      </c>
      <c r="G1967" s="31">
        <f t="shared" si="32"/>
        <v>13.082079500000001</v>
      </c>
      <c r="H1967" s="39">
        <f>SUM(G1967:G1970)</f>
        <v>29.958098000000003</v>
      </c>
      <c r="I1967" s="40"/>
      <c r="J1967" s="156">
        <v>0</v>
      </c>
    </row>
    <row r="1968" spans="1:10" ht="15.75" hidden="1" thickBot="1" x14ac:dyDescent="0.3">
      <c r="A1968" s="222"/>
      <c r="B1968" s="225"/>
      <c r="C1968" s="36" t="s">
        <v>39</v>
      </c>
      <c r="D1968" s="47" t="s">
        <v>12</v>
      </c>
      <c r="E1968" s="37">
        <v>0.77449999999999997</v>
      </c>
      <c r="F1968" s="31">
        <v>21.622</v>
      </c>
      <c r="G1968" s="31">
        <f t="shared" si="32"/>
        <v>16.746238999999999</v>
      </c>
      <c r="H1968" s="35"/>
      <c r="I1968" s="31"/>
      <c r="J1968" s="156">
        <v>0</v>
      </c>
    </row>
    <row r="1969" spans="1:10" ht="39" hidden="1" thickBot="1" x14ac:dyDescent="0.3">
      <c r="A1969" s="222"/>
      <c r="B1969" s="225"/>
      <c r="C1969" s="36" t="s">
        <v>676</v>
      </c>
      <c r="D1969" s="36" t="s">
        <v>150</v>
      </c>
      <c r="E1969" s="37">
        <v>1</v>
      </c>
      <c r="F1969" s="34" t="s">
        <v>572</v>
      </c>
      <c r="G1969" s="31" t="str">
        <f t="shared" si="32"/>
        <v/>
      </c>
      <c r="H1969" s="35"/>
      <c r="I1969" s="31"/>
      <c r="J1969" s="156">
        <v>0</v>
      </c>
    </row>
    <row r="1970" spans="1:10" ht="15.75" hidden="1" thickBot="1" x14ac:dyDescent="0.3">
      <c r="A1970" s="222"/>
      <c r="B1970" s="225"/>
      <c r="C1970" s="36" t="s">
        <v>422</v>
      </c>
      <c r="D1970" s="47" t="s">
        <v>299</v>
      </c>
      <c r="E1970" s="37">
        <v>9.4999999999999998E-3</v>
      </c>
      <c r="F1970" s="34">
        <v>13.661</v>
      </c>
      <c r="G1970" s="31">
        <f t="shared" si="32"/>
        <v>0.12977949999999999</v>
      </c>
      <c r="H1970" s="35"/>
      <c r="I1970" s="31"/>
      <c r="J1970" s="156">
        <v>0</v>
      </c>
    </row>
    <row r="1971" spans="1:10" ht="15.75" hidden="1" thickBot="1" x14ac:dyDescent="0.3">
      <c r="A1971" s="223"/>
      <c r="B1971" s="226"/>
      <c r="C1971" s="36"/>
      <c r="D1971" s="36"/>
      <c r="E1971" s="37"/>
      <c r="F1971" s="31" t="s">
        <v>572</v>
      </c>
      <c r="G1971" s="31" t="str">
        <f t="shared" si="32"/>
        <v/>
      </c>
      <c r="H1971" s="35"/>
      <c r="I1971" s="31"/>
      <c r="J1971" s="156">
        <v>0</v>
      </c>
    </row>
    <row r="1972" spans="1:10" ht="15.75" hidden="1" thickBot="1" x14ac:dyDescent="0.3">
      <c r="A1972" s="221" t="s">
        <v>677</v>
      </c>
      <c r="B1972" s="224" t="str">
        <f>INDEX(Orçamentária!A:B,MATCH(Composições!A1972,Orçamentária!A:A,0),2)</f>
        <v>Filtro em Y 3/4"</v>
      </c>
      <c r="C1972" s="41"/>
      <c r="D1972" s="26" t="str">
        <f>TRIM(INDEX(Orçamentária!C:C,MATCH(Composições!A1972,Orçamentária!A:A,0),1))</f>
        <v>un</v>
      </c>
      <c r="E1972" s="27"/>
      <c r="F1972" s="42" t="s">
        <v>572</v>
      </c>
      <c r="G1972" s="28" t="str">
        <f t="shared" si="32"/>
        <v/>
      </c>
      <c r="H1972" s="29"/>
      <c r="I1972" s="30"/>
      <c r="J1972" s="156">
        <v>0</v>
      </c>
    </row>
    <row r="1973" spans="1:10" ht="15.75" hidden="1" thickBot="1" x14ac:dyDescent="0.3">
      <c r="A1973" s="222"/>
      <c r="B1973" s="225"/>
      <c r="C1973" s="32"/>
      <c r="D1973" s="32"/>
      <c r="E1973" s="33"/>
      <c r="F1973" s="43" t="s">
        <v>572</v>
      </c>
      <c r="G1973" s="31" t="str">
        <f t="shared" si="32"/>
        <v/>
      </c>
      <c r="H1973" s="35"/>
      <c r="I1973" s="31"/>
      <c r="J1973" s="156">
        <v>0</v>
      </c>
    </row>
    <row r="1974" spans="1:10" ht="26.25" hidden="1" thickBot="1" x14ac:dyDescent="0.3">
      <c r="A1974" s="222"/>
      <c r="B1974" s="225"/>
      <c r="C1974" s="36" t="s">
        <v>110</v>
      </c>
      <c r="D1974" s="47" t="s">
        <v>12</v>
      </c>
      <c r="E1974" s="37">
        <v>0.77449999999999997</v>
      </c>
      <c r="F1974" s="31">
        <v>16.891000000000002</v>
      </c>
      <c r="G1974" s="31">
        <f t="shared" si="32"/>
        <v>13.082079500000001</v>
      </c>
      <c r="H1974" s="39">
        <f>SUM(G1974:G1977)</f>
        <v>29.958098000000003</v>
      </c>
      <c r="I1974" s="40"/>
      <c r="J1974" s="156">
        <v>0</v>
      </c>
    </row>
    <row r="1975" spans="1:10" ht="15.75" hidden="1" thickBot="1" x14ac:dyDescent="0.3">
      <c r="A1975" s="222"/>
      <c r="B1975" s="225"/>
      <c r="C1975" s="36" t="s">
        <v>39</v>
      </c>
      <c r="D1975" s="47" t="s">
        <v>12</v>
      </c>
      <c r="E1975" s="37">
        <v>0.77449999999999997</v>
      </c>
      <c r="F1975" s="31">
        <v>21.622</v>
      </c>
      <c r="G1975" s="31">
        <f t="shared" si="32"/>
        <v>16.746238999999999</v>
      </c>
      <c r="H1975" s="35"/>
      <c r="I1975" s="31"/>
      <c r="J1975" s="156">
        <v>0</v>
      </c>
    </row>
    <row r="1976" spans="1:10" ht="39" hidden="1" thickBot="1" x14ac:dyDescent="0.3">
      <c r="A1976" s="222"/>
      <c r="B1976" s="225"/>
      <c r="C1976" s="36" t="s">
        <v>678</v>
      </c>
      <c r="D1976" s="36" t="s">
        <v>150</v>
      </c>
      <c r="E1976" s="37">
        <v>1</v>
      </c>
      <c r="F1976" s="34" t="s">
        <v>572</v>
      </c>
      <c r="G1976" s="31" t="str">
        <f t="shared" si="32"/>
        <v/>
      </c>
      <c r="H1976" s="35"/>
      <c r="I1976" s="31"/>
      <c r="J1976" s="156">
        <v>0</v>
      </c>
    </row>
    <row r="1977" spans="1:10" ht="15.75" hidden="1" thickBot="1" x14ac:dyDescent="0.3">
      <c r="A1977" s="222"/>
      <c r="B1977" s="225"/>
      <c r="C1977" s="36" t="s">
        <v>422</v>
      </c>
      <c r="D1977" s="47" t="s">
        <v>299</v>
      </c>
      <c r="E1977" s="37">
        <v>9.4999999999999998E-3</v>
      </c>
      <c r="F1977" s="34">
        <v>13.661</v>
      </c>
      <c r="G1977" s="31">
        <f t="shared" si="32"/>
        <v>0.12977949999999999</v>
      </c>
      <c r="H1977" s="35"/>
      <c r="I1977" s="31"/>
      <c r="J1977" s="156">
        <v>0</v>
      </c>
    </row>
    <row r="1978" spans="1:10" ht="15.75" hidden="1" thickBot="1" x14ac:dyDescent="0.3">
      <c r="A1978" s="223"/>
      <c r="B1978" s="226"/>
      <c r="C1978" s="36"/>
      <c r="D1978" s="36"/>
      <c r="E1978" s="37"/>
      <c r="F1978" s="31" t="s">
        <v>572</v>
      </c>
      <c r="G1978" s="31" t="str">
        <f t="shared" si="32"/>
        <v/>
      </c>
      <c r="H1978" s="35"/>
      <c r="I1978" s="31"/>
      <c r="J1978" s="156">
        <v>0</v>
      </c>
    </row>
    <row r="1979" spans="1:10" ht="15.75" hidden="1" thickBot="1" x14ac:dyDescent="0.3">
      <c r="A1979" s="221" t="s">
        <v>679</v>
      </c>
      <c r="B1979" s="224" t="str">
        <f>INDEX(Orçamentária!A:B,MATCH(Composições!A1979,Orçamentária!A:A,0),2)</f>
        <v>Válvula de balanceamento e controle independente da pressão (PIBCV) 2 vias 1"</v>
      </c>
      <c r="C1979" s="41"/>
      <c r="D1979" s="26" t="str">
        <f>TRIM(INDEX(Orçamentária!C:C,MATCH(Composições!A1979,Orçamentária!A:A,0),1))</f>
        <v>un</v>
      </c>
      <c r="E1979" s="27"/>
      <c r="F1979" s="42" t="s">
        <v>572</v>
      </c>
      <c r="G1979" s="28" t="str">
        <f t="shared" si="32"/>
        <v/>
      </c>
      <c r="H1979" s="29"/>
      <c r="I1979" s="30"/>
      <c r="J1979" s="156">
        <v>0</v>
      </c>
    </row>
    <row r="1980" spans="1:10" ht="15.75" hidden="1" thickBot="1" x14ac:dyDescent="0.3">
      <c r="A1980" s="222"/>
      <c r="B1980" s="225"/>
      <c r="C1980" s="32"/>
      <c r="D1980" s="32"/>
      <c r="E1980" s="33"/>
      <c r="F1980" s="43" t="s">
        <v>572</v>
      </c>
      <c r="G1980" s="31" t="str">
        <f t="shared" si="32"/>
        <v/>
      </c>
      <c r="H1980" s="35"/>
      <c r="I1980" s="31"/>
      <c r="J1980" s="156">
        <v>0</v>
      </c>
    </row>
    <row r="1981" spans="1:10" ht="26.25" hidden="1" thickBot="1" x14ac:dyDescent="0.3">
      <c r="A1981" s="222"/>
      <c r="B1981" s="225"/>
      <c r="C1981" s="36" t="s">
        <v>110</v>
      </c>
      <c r="D1981" s="47" t="s">
        <v>12</v>
      </c>
      <c r="E1981" s="37">
        <v>0.77449999999999997</v>
      </c>
      <c r="F1981" s="31">
        <v>16.891000000000002</v>
      </c>
      <c r="G1981" s="31">
        <f t="shared" si="32"/>
        <v>13.082079500000001</v>
      </c>
      <c r="H1981" s="39">
        <f>SUM(G1981:G1985)</f>
        <v>29.958098000000003</v>
      </c>
      <c r="I1981" s="40"/>
      <c r="J1981" s="156">
        <v>0</v>
      </c>
    </row>
    <row r="1982" spans="1:10" ht="15.75" hidden="1" thickBot="1" x14ac:dyDescent="0.3">
      <c r="A1982" s="222"/>
      <c r="B1982" s="225"/>
      <c r="C1982" s="36" t="s">
        <v>39</v>
      </c>
      <c r="D1982" s="47" t="s">
        <v>12</v>
      </c>
      <c r="E1982" s="37">
        <v>0.77449999999999997</v>
      </c>
      <c r="F1982" s="31">
        <v>21.622</v>
      </c>
      <c r="G1982" s="31">
        <f t="shared" si="32"/>
        <v>16.746238999999999</v>
      </c>
      <c r="H1982" s="35"/>
      <c r="I1982" s="31"/>
      <c r="J1982" s="156">
        <v>0</v>
      </c>
    </row>
    <row r="1983" spans="1:10" ht="15.75" hidden="1" thickBot="1" x14ac:dyDescent="0.3">
      <c r="A1983" s="222"/>
      <c r="B1983" s="225"/>
      <c r="C1983" s="36" t="s">
        <v>422</v>
      </c>
      <c r="D1983" s="47" t="s">
        <v>299</v>
      </c>
      <c r="E1983" s="37">
        <v>9.4999999999999998E-3</v>
      </c>
      <c r="F1983" s="34">
        <v>13.661</v>
      </c>
      <c r="G1983" s="31">
        <f t="shared" si="32"/>
        <v>0.12977949999999999</v>
      </c>
      <c r="H1983" s="35"/>
      <c r="I1983" s="31"/>
      <c r="J1983" s="156">
        <v>0</v>
      </c>
    </row>
    <row r="1984" spans="1:10" ht="39" hidden="1" thickBot="1" x14ac:dyDescent="0.3">
      <c r="A1984" s="222"/>
      <c r="B1984" s="225"/>
      <c r="C1984" s="36" t="s">
        <v>680</v>
      </c>
      <c r="D1984" s="36" t="s">
        <v>150</v>
      </c>
      <c r="E1984" s="37">
        <v>1</v>
      </c>
      <c r="F1984" s="34" t="s">
        <v>572</v>
      </c>
      <c r="G1984" s="31" t="str">
        <f t="shared" si="32"/>
        <v/>
      </c>
      <c r="H1984" s="35"/>
      <c r="I1984" s="31"/>
      <c r="J1984" s="156">
        <v>0</v>
      </c>
    </row>
    <row r="1985" spans="1:10" ht="39" hidden="1" thickBot="1" x14ac:dyDescent="0.3">
      <c r="A1985" s="222"/>
      <c r="B1985" s="225"/>
      <c r="C1985" s="36" t="s">
        <v>681</v>
      </c>
      <c r="D1985" s="36" t="s">
        <v>150</v>
      </c>
      <c r="E1985" s="37">
        <v>1</v>
      </c>
      <c r="F1985" s="34" t="s">
        <v>572</v>
      </c>
      <c r="G1985" s="31" t="str">
        <f t="shared" si="32"/>
        <v/>
      </c>
      <c r="H1985" s="35"/>
      <c r="I1985" s="31"/>
      <c r="J1985" s="156">
        <v>0</v>
      </c>
    </row>
    <row r="1986" spans="1:10" ht="15.75" hidden="1" thickBot="1" x14ac:dyDescent="0.3">
      <c r="A1986" s="223"/>
      <c r="B1986" s="226"/>
      <c r="C1986" s="36"/>
      <c r="D1986" s="36"/>
      <c r="E1986" s="37"/>
      <c r="F1986" s="31" t="s">
        <v>572</v>
      </c>
      <c r="G1986" s="31" t="str">
        <f t="shared" si="32"/>
        <v/>
      </c>
      <c r="H1986" s="35"/>
      <c r="I1986" s="31"/>
      <c r="J1986" s="156">
        <v>0</v>
      </c>
    </row>
    <row r="1987" spans="1:10" ht="15.75" hidden="1" thickBot="1" x14ac:dyDescent="0.3">
      <c r="A1987" s="221" t="s">
        <v>682</v>
      </c>
      <c r="B1987" s="224" t="str">
        <f>INDEX(Orçamentária!A:B,MATCH(Composições!A1987,Orçamentária!A:A,0),2)</f>
        <v>Válvula de balanceamento e controle independente da pressão (PIBCV) 2 vias 3/4"</v>
      </c>
      <c r="C1987" s="41"/>
      <c r="D1987" s="26" t="str">
        <f>TRIM(INDEX(Orçamentária!C:C,MATCH(Composições!A1987,Orçamentária!A:A,0),1))</f>
        <v>un</v>
      </c>
      <c r="E1987" s="27"/>
      <c r="F1987" s="42" t="s">
        <v>572</v>
      </c>
      <c r="G1987" s="28" t="str">
        <f t="shared" si="32"/>
        <v/>
      </c>
      <c r="H1987" s="29"/>
      <c r="I1987" s="30"/>
      <c r="J1987" s="156">
        <v>0</v>
      </c>
    </row>
    <row r="1988" spans="1:10" ht="15.75" hidden="1" thickBot="1" x14ac:dyDescent="0.3">
      <c r="A1988" s="222"/>
      <c r="B1988" s="225"/>
      <c r="C1988" s="32"/>
      <c r="D1988" s="32"/>
      <c r="E1988" s="33"/>
      <c r="F1988" s="43" t="s">
        <v>572</v>
      </c>
      <c r="G1988" s="31" t="str">
        <f t="shared" si="32"/>
        <v/>
      </c>
      <c r="H1988" s="35"/>
      <c r="I1988" s="31"/>
      <c r="J1988" s="156">
        <v>0</v>
      </c>
    </row>
    <row r="1989" spans="1:10" ht="26.25" hidden="1" thickBot="1" x14ac:dyDescent="0.3">
      <c r="A1989" s="222"/>
      <c r="B1989" s="225"/>
      <c r="C1989" s="36" t="s">
        <v>110</v>
      </c>
      <c r="D1989" s="47" t="s">
        <v>12</v>
      </c>
      <c r="E1989" s="37">
        <v>0.77449999999999997</v>
      </c>
      <c r="F1989" s="31">
        <v>16.891000000000002</v>
      </c>
      <c r="G1989" s="31">
        <f t="shared" si="32"/>
        <v>13.082079500000001</v>
      </c>
      <c r="H1989" s="39">
        <f>SUM(G1989:G1993)</f>
        <v>29.958098000000003</v>
      </c>
      <c r="I1989" s="40"/>
      <c r="J1989" s="156">
        <v>0</v>
      </c>
    </row>
    <row r="1990" spans="1:10" ht="15.75" hidden="1" thickBot="1" x14ac:dyDescent="0.3">
      <c r="A1990" s="222"/>
      <c r="B1990" s="225"/>
      <c r="C1990" s="36" t="s">
        <v>39</v>
      </c>
      <c r="D1990" s="47" t="s">
        <v>12</v>
      </c>
      <c r="E1990" s="37">
        <v>0.77449999999999997</v>
      </c>
      <c r="F1990" s="31">
        <v>21.622</v>
      </c>
      <c r="G1990" s="31">
        <f t="shared" si="32"/>
        <v>16.746238999999999</v>
      </c>
      <c r="H1990" s="35"/>
      <c r="I1990" s="31"/>
      <c r="J1990" s="156">
        <v>0</v>
      </c>
    </row>
    <row r="1991" spans="1:10" ht="15.75" hidden="1" thickBot="1" x14ac:dyDescent="0.3">
      <c r="A1991" s="222"/>
      <c r="B1991" s="225"/>
      <c r="C1991" s="36" t="s">
        <v>422</v>
      </c>
      <c r="D1991" s="47" t="s">
        <v>299</v>
      </c>
      <c r="E1991" s="37">
        <v>9.4999999999999998E-3</v>
      </c>
      <c r="F1991" s="34">
        <v>13.661</v>
      </c>
      <c r="G1991" s="31">
        <f t="shared" si="32"/>
        <v>0.12977949999999999</v>
      </c>
      <c r="H1991" s="35"/>
      <c r="I1991" s="31"/>
      <c r="J1991" s="156">
        <v>0</v>
      </c>
    </row>
    <row r="1992" spans="1:10" ht="39" hidden="1" thickBot="1" x14ac:dyDescent="0.3">
      <c r="A1992" s="222"/>
      <c r="B1992" s="225"/>
      <c r="C1992" s="36" t="s">
        <v>680</v>
      </c>
      <c r="D1992" s="36" t="s">
        <v>150</v>
      </c>
      <c r="E1992" s="37">
        <v>1</v>
      </c>
      <c r="F1992" s="34" t="s">
        <v>572</v>
      </c>
      <c r="G1992" s="31" t="str">
        <f t="shared" si="32"/>
        <v/>
      </c>
      <c r="H1992" s="35"/>
      <c r="I1992" s="31"/>
      <c r="J1992" s="156">
        <v>0</v>
      </c>
    </row>
    <row r="1993" spans="1:10" ht="39" hidden="1" thickBot="1" x14ac:dyDescent="0.3">
      <c r="A1993" s="222"/>
      <c r="B1993" s="225"/>
      <c r="C1993" s="36" t="s">
        <v>683</v>
      </c>
      <c r="D1993" s="36" t="s">
        <v>150</v>
      </c>
      <c r="E1993" s="37">
        <v>1</v>
      </c>
      <c r="F1993" s="34" t="s">
        <v>572</v>
      </c>
      <c r="G1993" s="31" t="str">
        <f t="shared" si="32"/>
        <v/>
      </c>
      <c r="H1993" s="35"/>
      <c r="I1993" s="31"/>
      <c r="J1993" s="156">
        <v>0</v>
      </c>
    </row>
    <row r="1994" spans="1:10" ht="15.75" hidden="1" thickBot="1" x14ac:dyDescent="0.3">
      <c r="A1994" s="223"/>
      <c r="B1994" s="226"/>
      <c r="C1994" s="36"/>
      <c r="D1994" s="36"/>
      <c r="E1994" s="37"/>
      <c r="F1994" s="31" t="s">
        <v>572</v>
      </c>
      <c r="G1994" s="31" t="str">
        <f t="shared" si="32"/>
        <v/>
      </c>
      <c r="H1994" s="35"/>
      <c r="I1994" s="31"/>
      <c r="J1994" s="156">
        <v>0</v>
      </c>
    </row>
    <row r="1995" spans="1:10" ht="15.75" hidden="1" thickBot="1" x14ac:dyDescent="0.3">
      <c r="A1995" s="221" t="s">
        <v>684</v>
      </c>
      <c r="B1995" s="224" t="str">
        <f>INDEX(Orçamentária!A:B,MATCH(Composições!A1995,Orçamentária!A:A,0),2)</f>
        <v>Válvula de esfera em bronze 1 1/2"</v>
      </c>
      <c r="C1995" s="41"/>
      <c r="D1995" s="26" t="str">
        <f>TRIM(INDEX(Orçamentária!C:C,MATCH(Composições!A1995,Orçamentária!A:A,0),1))</f>
        <v>un</v>
      </c>
      <c r="E1995" s="27"/>
      <c r="F1995" s="42" t="s">
        <v>572</v>
      </c>
      <c r="G1995" s="28" t="str">
        <f t="shared" si="32"/>
        <v/>
      </c>
      <c r="H1995" s="29"/>
      <c r="I1995" s="30"/>
      <c r="J1995" s="156">
        <v>0</v>
      </c>
    </row>
    <row r="1996" spans="1:10" ht="15.75" hidden="1" thickBot="1" x14ac:dyDescent="0.3">
      <c r="A1996" s="222"/>
      <c r="B1996" s="225"/>
      <c r="C1996" s="32"/>
      <c r="D1996" s="32"/>
      <c r="E1996" s="33"/>
      <c r="F1996" s="43" t="s">
        <v>572</v>
      </c>
      <c r="G1996" s="31" t="str">
        <f t="shared" si="32"/>
        <v/>
      </c>
      <c r="H1996" s="35"/>
      <c r="I1996" s="31"/>
      <c r="J1996" s="156">
        <v>0</v>
      </c>
    </row>
    <row r="1997" spans="1:10" ht="15.75" hidden="1" thickBot="1" x14ac:dyDescent="0.3">
      <c r="A1997" s="222"/>
      <c r="B1997" s="225"/>
      <c r="C1997" s="36" t="s">
        <v>422</v>
      </c>
      <c r="D1997" s="47" t="s">
        <v>299</v>
      </c>
      <c r="E1997" s="37">
        <v>1.9E-2</v>
      </c>
      <c r="F1997" s="34">
        <v>13.661</v>
      </c>
      <c r="G1997" s="31">
        <f t="shared" si="32"/>
        <v>0.25955899999999998</v>
      </c>
      <c r="H1997" s="39">
        <f>SUM(G1997:G2000)</f>
        <v>146.81231600000001</v>
      </c>
      <c r="I1997" s="40"/>
      <c r="J1997" s="156">
        <v>0</v>
      </c>
    </row>
    <row r="1998" spans="1:10" ht="26.25" hidden="1" thickBot="1" x14ac:dyDescent="0.3">
      <c r="A1998" s="222"/>
      <c r="B1998" s="225"/>
      <c r="C1998" s="36" t="s">
        <v>685</v>
      </c>
      <c r="D1998" s="47" t="s">
        <v>20</v>
      </c>
      <c r="E1998" s="37">
        <v>1</v>
      </c>
      <c r="F1998" s="34">
        <v>116.166</v>
      </c>
      <c r="G1998" s="31">
        <f t="shared" si="32"/>
        <v>116.166</v>
      </c>
      <c r="H1998" s="35"/>
      <c r="I1998" s="31"/>
      <c r="J1998" s="156">
        <v>0</v>
      </c>
    </row>
    <row r="1999" spans="1:10" ht="26.25" hidden="1" thickBot="1" x14ac:dyDescent="0.3">
      <c r="A1999" s="222"/>
      <c r="B1999" s="225"/>
      <c r="C1999" s="36" t="s">
        <v>110</v>
      </c>
      <c r="D1999" s="47" t="s">
        <v>12</v>
      </c>
      <c r="E1999" s="37">
        <v>0.78900000000000003</v>
      </c>
      <c r="F1999" s="31">
        <v>16.891000000000002</v>
      </c>
      <c r="G1999" s="34">
        <f t="shared" si="32"/>
        <v>13.326999000000002</v>
      </c>
      <c r="H1999" s="35"/>
      <c r="I1999" s="31"/>
      <c r="J1999" s="156">
        <v>0</v>
      </c>
    </row>
    <row r="2000" spans="1:10" ht="15.75" hidden="1" thickBot="1" x14ac:dyDescent="0.3">
      <c r="A2000" s="222"/>
      <c r="B2000" s="225"/>
      <c r="C2000" s="36" t="s">
        <v>39</v>
      </c>
      <c r="D2000" s="47" t="s">
        <v>12</v>
      </c>
      <c r="E2000" s="37">
        <v>0.78900000000000003</v>
      </c>
      <c r="F2000" s="31">
        <v>21.622</v>
      </c>
      <c r="G2000" s="34">
        <f t="shared" si="32"/>
        <v>17.059758000000002</v>
      </c>
      <c r="H2000" s="35"/>
      <c r="I2000" s="31"/>
      <c r="J2000" s="156">
        <v>0</v>
      </c>
    </row>
    <row r="2001" spans="1:10" ht="15.75" hidden="1" thickBot="1" x14ac:dyDescent="0.3">
      <c r="A2001" s="223"/>
      <c r="B2001" s="226"/>
      <c r="C2001" s="36"/>
      <c r="D2001" s="36"/>
      <c r="E2001" s="37"/>
      <c r="F2001" s="31" t="s">
        <v>572</v>
      </c>
      <c r="G2001" s="31" t="str">
        <f t="shared" si="32"/>
        <v/>
      </c>
      <c r="H2001" s="35"/>
      <c r="I2001" s="31"/>
      <c r="J2001" s="156">
        <v>0</v>
      </c>
    </row>
    <row r="2002" spans="1:10" ht="15.75" hidden="1" thickBot="1" x14ac:dyDescent="0.3">
      <c r="A2002" s="221" t="s">
        <v>686</v>
      </c>
      <c r="B2002" s="224" t="str">
        <f>INDEX(Orçamentária!A:B,MATCH(Composições!A2002,Orçamentária!A:A,0),2)</f>
        <v>Válvula de esfera em bronze 1 1/4"</v>
      </c>
      <c r="C2002" s="41"/>
      <c r="D2002" s="26" t="str">
        <f>TRIM(INDEX(Orçamentária!C:C,MATCH(Composições!A2002,Orçamentária!A:A,0),1))</f>
        <v>un</v>
      </c>
      <c r="E2002" s="27"/>
      <c r="F2002" s="42" t="s">
        <v>572</v>
      </c>
      <c r="G2002" s="28" t="str">
        <f t="shared" si="32"/>
        <v/>
      </c>
      <c r="H2002" s="29"/>
      <c r="I2002" s="30"/>
      <c r="J2002" s="156">
        <v>0</v>
      </c>
    </row>
    <row r="2003" spans="1:10" ht="15.75" hidden="1" thickBot="1" x14ac:dyDescent="0.3">
      <c r="A2003" s="222"/>
      <c r="B2003" s="225"/>
      <c r="C2003" s="32"/>
      <c r="D2003" s="32"/>
      <c r="E2003" s="33"/>
      <c r="F2003" s="43" t="s">
        <v>572</v>
      </c>
      <c r="G2003" s="31" t="str">
        <f t="shared" si="32"/>
        <v/>
      </c>
      <c r="H2003" s="35"/>
      <c r="I2003" s="31"/>
      <c r="J2003" s="156">
        <v>0</v>
      </c>
    </row>
    <row r="2004" spans="1:10" ht="15.75" hidden="1" thickBot="1" x14ac:dyDescent="0.3">
      <c r="A2004" s="222"/>
      <c r="B2004" s="225"/>
      <c r="C2004" s="36" t="s">
        <v>422</v>
      </c>
      <c r="D2004" s="47" t="s">
        <v>299</v>
      </c>
      <c r="E2004" s="37">
        <v>1.9E-2</v>
      </c>
      <c r="F2004" s="34">
        <v>13.661</v>
      </c>
      <c r="G2004" s="31">
        <f t="shared" si="32"/>
        <v>0.25955899999999998</v>
      </c>
      <c r="H2004" s="39">
        <f>SUM(G2004:G2007)</f>
        <v>127.04281599999999</v>
      </c>
      <c r="I2004" s="40"/>
      <c r="J2004" s="156">
        <v>0</v>
      </c>
    </row>
    <row r="2005" spans="1:10" ht="26.25" hidden="1" thickBot="1" x14ac:dyDescent="0.3">
      <c r="A2005" s="222"/>
      <c r="B2005" s="225"/>
      <c r="C2005" s="36" t="s">
        <v>687</v>
      </c>
      <c r="D2005" s="47" t="s">
        <v>20</v>
      </c>
      <c r="E2005" s="37">
        <v>1</v>
      </c>
      <c r="F2005" s="34">
        <v>96.396499999999989</v>
      </c>
      <c r="G2005" s="31">
        <f t="shared" ref="G2005:G2068" si="33">IF(ISNUMBER(F2005),E2005*F2005,"")</f>
        <v>96.396499999999989</v>
      </c>
      <c r="H2005" s="35"/>
      <c r="I2005" s="31"/>
      <c r="J2005" s="156">
        <v>0</v>
      </c>
    </row>
    <row r="2006" spans="1:10" ht="26.25" hidden="1" thickBot="1" x14ac:dyDescent="0.3">
      <c r="A2006" s="222"/>
      <c r="B2006" s="225"/>
      <c r="C2006" s="36" t="s">
        <v>110</v>
      </c>
      <c r="D2006" s="47" t="s">
        <v>12</v>
      </c>
      <c r="E2006" s="37">
        <v>0.78900000000000003</v>
      </c>
      <c r="F2006" s="31">
        <v>16.891000000000002</v>
      </c>
      <c r="G2006" s="34">
        <f t="shared" si="33"/>
        <v>13.326999000000002</v>
      </c>
      <c r="H2006" s="35"/>
      <c r="I2006" s="31"/>
      <c r="J2006" s="156">
        <v>0</v>
      </c>
    </row>
    <row r="2007" spans="1:10" ht="15.75" hidden="1" thickBot="1" x14ac:dyDescent="0.3">
      <c r="A2007" s="222"/>
      <c r="B2007" s="225"/>
      <c r="C2007" s="36" t="s">
        <v>39</v>
      </c>
      <c r="D2007" s="47" t="s">
        <v>12</v>
      </c>
      <c r="E2007" s="37">
        <v>0.78900000000000003</v>
      </c>
      <c r="F2007" s="31">
        <v>21.622</v>
      </c>
      <c r="G2007" s="34">
        <f t="shared" si="33"/>
        <v>17.059758000000002</v>
      </c>
      <c r="H2007" s="35"/>
      <c r="I2007" s="31"/>
      <c r="J2007" s="156">
        <v>0</v>
      </c>
    </row>
    <row r="2008" spans="1:10" ht="15.75" hidden="1" thickBot="1" x14ac:dyDescent="0.3">
      <c r="A2008" s="223"/>
      <c r="B2008" s="226"/>
      <c r="C2008" s="36"/>
      <c r="D2008" s="36"/>
      <c r="E2008" s="37"/>
      <c r="F2008" s="31" t="s">
        <v>572</v>
      </c>
      <c r="G2008" s="31" t="str">
        <f t="shared" si="33"/>
        <v/>
      </c>
      <c r="H2008" s="35"/>
      <c r="I2008" s="31"/>
      <c r="J2008" s="156">
        <v>0</v>
      </c>
    </row>
    <row r="2009" spans="1:10" ht="15.75" hidden="1" thickBot="1" x14ac:dyDescent="0.3">
      <c r="A2009" s="221" t="s">
        <v>688</v>
      </c>
      <c r="B2009" s="224" t="str">
        <f>INDEX(Orçamentária!A:B,MATCH(Composições!A2009,Orçamentária!A:A,0),2)</f>
        <v>Válvula de esfera em bronze 1"</v>
      </c>
      <c r="C2009" s="41"/>
      <c r="D2009" s="26" t="str">
        <f>TRIM(INDEX(Orçamentária!C:C,MATCH(Composições!A2009,Orçamentária!A:A,0),1))</f>
        <v>un</v>
      </c>
      <c r="E2009" s="27"/>
      <c r="F2009" s="42" t="s">
        <v>572</v>
      </c>
      <c r="G2009" s="28" t="str">
        <f t="shared" si="33"/>
        <v/>
      </c>
      <c r="H2009" s="29"/>
      <c r="I2009" s="30"/>
      <c r="J2009" s="156">
        <v>0</v>
      </c>
    </row>
    <row r="2010" spans="1:10" ht="15.75" hidden="1" thickBot="1" x14ac:dyDescent="0.3">
      <c r="A2010" s="222"/>
      <c r="B2010" s="225"/>
      <c r="C2010" s="32"/>
      <c r="D2010" s="32"/>
      <c r="E2010" s="33"/>
      <c r="F2010" s="43" t="s">
        <v>572</v>
      </c>
      <c r="G2010" s="31" t="str">
        <f t="shared" si="33"/>
        <v/>
      </c>
      <c r="H2010" s="35"/>
      <c r="I2010" s="31"/>
      <c r="J2010" s="156">
        <v>0</v>
      </c>
    </row>
    <row r="2011" spans="1:10" ht="15.75" hidden="1" thickBot="1" x14ac:dyDescent="0.3">
      <c r="A2011" s="222"/>
      <c r="B2011" s="225"/>
      <c r="C2011" s="36" t="s">
        <v>422</v>
      </c>
      <c r="D2011" s="47" t="s">
        <v>299</v>
      </c>
      <c r="E2011" s="37">
        <v>9.4999999999999998E-3</v>
      </c>
      <c r="F2011" s="34">
        <v>13.661</v>
      </c>
      <c r="G2011" s="31">
        <f t="shared" si="33"/>
        <v>0.12977949999999999</v>
      </c>
      <c r="H2011" s="39">
        <f>SUM(G2011:G2014)</f>
        <v>94.634098000000009</v>
      </c>
      <c r="I2011" s="40"/>
      <c r="J2011" s="156">
        <v>0</v>
      </c>
    </row>
    <row r="2012" spans="1:10" ht="15.75" hidden="1" thickBot="1" x14ac:dyDescent="0.3">
      <c r="A2012" s="222"/>
      <c r="B2012" s="225"/>
      <c r="C2012" s="36" t="s">
        <v>689</v>
      </c>
      <c r="D2012" s="47" t="s">
        <v>20</v>
      </c>
      <c r="E2012" s="37">
        <v>1</v>
      </c>
      <c r="F2012" s="34">
        <v>64.676000000000002</v>
      </c>
      <c r="G2012" s="31">
        <f t="shared" si="33"/>
        <v>64.676000000000002</v>
      </c>
      <c r="H2012" s="35"/>
      <c r="I2012" s="31"/>
      <c r="J2012" s="156">
        <v>0</v>
      </c>
    </row>
    <row r="2013" spans="1:10" ht="26.25" hidden="1" thickBot="1" x14ac:dyDescent="0.3">
      <c r="A2013" s="222"/>
      <c r="B2013" s="225"/>
      <c r="C2013" s="36" t="s">
        <v>110</v>
      </c>
      <c r="D2013" s="36" t="s">
        <v>12</v>
      </c>
      <c r="E2013" s="37">
        <v>0.77449999999999997</v>
      </c>
      <c r="F2013" s="31">
        <v>16.891000000000002</v>
      </c>
      <c r="G2013" s="34">
        <f t="shared" si="33"/>
        <v>13.082079500000001</v>
      </c>
      <c r="H2013" s="35"/>
      <c r="I2013" s="31"/>
      <c r="J2013" s="156">
        <v>0</v>
      </c>
    </row>
    <row r="2014" spans="1:10" ht="15.75" hidden="1" thickBot="1" x14ac:dyDescent="0.3">
      <c r="A2014" s="222"/>
      <c r="B2014" s="225"/>
      <c r="C2014" s="36" t="s">
        <v>39</v>
      </c>
      <c r="D2014" s="47" t="s">
        <v>12</v>
      </c>
      <c r="E2014" s="37">
        <v>0.77449999999999997</v>
      </c>
      <c r="F2014" s="31">
        <v>21.622</v>
      </c>
      <c r="G2014" s="34">
        <f t="shared" si="33"/>
        <v>16.746238999999999</v>
      </c>
      <c r="H2014" s="35"/>
      <c r="I2014" s="31"/>
      <c r="J2014" s="156">
        <v>0</v>
      </c>
    </row>
    <row r="2015" spans="1:10" ht="15.75" hidden="1" thickBot="1" x14ac:dyDescent="0.3">
      <c r="A2015" s="223"/>
      <c r="B2015" s="226"/>
      <c r="C2015" s="36"/>
      <c r="D2015" s="36"/>
      <c r="E2015" s="37"/>
      <c r="F2015" s="31" t="s">
        <v>572</v>
      </c>
      <c r="G2015" s="31" t="str">
        <f t="shared" si="33"/>
        <v/>
      </c>
      <c r="H2015" s="35"/>
      <c r="I2015" s="31"/>
      <c r="J2015" s="156">
        <v>0</v>
      </c>
    </row>
    <row r="2016" spans="1:10" ht="15.75" thickBot="1" x14ac:dyDescent="0.3">
      <c r="A2016" s="221" t="s">
        <v>690</v>
      </c>
      <c r="B2016" s="224" t="str">
        <f>INDEX(Orçamentária!A:B,MATCH(Composições!A2016,Orçamentária!A:A,0),2)</f>
        <v>Válvula de esfera em bronze 3/4"</v>
      </c>
      <c r="C2016" s="41"/>
      <c r="D2016" s="26" t="str">
        <f>TRIM(INDEX(Orçamentária!C:C,MATCH(Composições!A2016,Orçamentária!A:A,0),1))</f>
        <v>un</v>
      </c>
      <c r="E2016" s="27"/>
      <c r="F2016" s="42" t="s">
        <v>572</v>
      </c>
      <c r="G2016" s="28" t="str">
        <f t="shared" si="33"/>
        <v/>
      </c>
      <c r="H2016" s="29"/>
      <c r="I2016" s="30"/>
      <c r="J2016" s="156">
        <v>1</v>
      </c>
    </row>
    <row r="2017" spans="1:10" x14ac:dyDescent="0.25">
      <c r="A2017" s="222"/>
      <c r="B2017" s="225"/>
      <c r="C2017" s="32"/>
      <c r="D2017" s="32"/>
      <c r="E2017" s="33"/>
      <c r="F2017" s="43" t="s">
        <v>572</v>
      </c>
      <c r="G2017" s="31" t="str">
        <f t="shared" si="33"/>
        <v/>
      </c>
      <c r="H2017" s="35"/>
      <c r="I2017" s="31"/>
      <c r="J2017" s="156">
        <v>1</v>
      </c>
    </row>
    <row r="2018" spans="1:10" x14ac:dyDescent="0.25">
      <c r="A2018" s="222"/>
      <c r="B2018" s="225"/>
      <c r="C2018" s="36" t="s">
        <v>422</v>
      </c>
      <c r="D2018" s="47" t="s">
        <v>299</v>
      </c>
      <c r="E2018" s="37">
        <v>9.4999999999999998E-3</v>
      </c>
      <c r="F2018" s="34">
        <v>13.661</v>
      </c>
      <c r="G2018" s="31">
        <f t="shared" si="33"/>
        <v>0.12977949999999999</v>
      </c>
      <c r="H2018" s="39">
        <f>SUM(G2018:G2021)</f>
        <v>77.866597999999996</v>
      </c>
      <c r="I2018" s="40"/>
      <c r="J2018" s="156">
        <v>1</v>
      </c>
    </row>
    <row r="2019" spans="1:10" x14ac:dyDescent="0.25">
      <c r="A2019" s="222"/>
      <c r="B2019" s="225"/>
      <c r="C2019" s="36" t="s">
        <v>691</v>
      </c>
      <c r="D2019" s="47" t="s">
        <v>20</v>
      </c>
      <c r="E2019" s="37">
        <v>1</v>
      </c>
      <c r="F2019" s="34">
        <v>47.908499999999997</v>
      </c>
      <c r="G2019" s="31">
        <f t="shared" si="33"/>
        <v>47.908499999999997</v>
      </c>
      <c r="H2019" s="35"/>
      <c r="I2019" s="31"/>
      <c r="J2019" s="156">
        <v>1</v>
      </c>
    </row>
    <row r="2020" spans="1:10" ht="25.5" x14ac:dyDescent="0.25">
      <c r="A2020" s="222"/>
      <c r="B2020" s="225"/>
      <c r="C2020" s="36" t="s">
        <v>110</v>
      </c>
      <c r="D2020" s="36" t="s">
        <v>12</v>
      </c>
      <c r="E2020" s="37">
        <v>0.77449999999999997</v>
      </c>
      <c r="F2020" s="31">
        <v>16.891000000000002</v>
      </c>
      <c r="G2020" s="34">
        <f t="shared" si="33"/>
        <v>13.082079500000001</v>
      </c>
      <c r="H2020" s="35"/>
      <c r="I2020" s="31"/>
      <c r="J2020" s="156">
        <v>1</v>
      </c>
    </row>
    <row r="2021" spans="1:10" x14ac:dyDescent="0.25">
      <c r="A2021" s="222"/>
      <c r="B2021" s="225"/>
      <c r="C2021" s="36" t="s">
        <v>39</v>
      </c>
      <c r="D2021" s="47" t="s">
        <v>12</v>
      </c>
      <c r="E2021" s="37">
        <v>0.77449999999999997</v>
      </c>
      <c r="F2021" s="31">
        <v>21.622</v>
      </c>
      <c r="G2021" s="34">
        <f t="shared" si="33"/>
        <v>16.746238999999999</v>
      </c>
      <c r="H2021" s="35"/>
      <c r="I2021" s="31"/>
      <c r="J2021" s="156">
        <v>1</v>
      </c>
    </row>
    <row r="2022" spans="1:10" ht="15.75" thickBot="1" x14ac:dyDescent="0.3">
      <c r="A2022" s="223"/>
      <c r="B2022" s="226"/>
      <c r="C2022" s="36"/>
      <c r="D2022" s="36"/>
      <c r="E2022" s="37"/>
      <c r="F2022" s="31" t="s">
        <v>572</v>
      </c>
      <c r="G2022" s="31" t="str">
        <f t="shared" si="33"/>
        <v/>
      </c>
      <c r="H2022" s="35"/>
      <c r="I2022" s="31"/>
      <c r="J2022" s="156">
        <v>1</v>
      </c>
    </row>
    <row r="2023" spans="1:10" ht="15.75" thickBot="1" x14ac:dyDescent="0.3">
      <c r="A2023" s="221" t="s">
        <v>692</v>
      </c>
      <c r="B2023" s="224" t="str">
        <f>INDEX(Orçamentária!A:B,MATCH(Composições!A2023,Orçamentária!A:A,0),2)</f>
        <v>Isolamento elastomérico em formato de prancha autoadesiva</v>
      </c>
      <c r="C2023" s="41"/>
      <c r="D2023" s="26" t="str">
        <f>TRIM(INDEX(Orçamentária!C:C,MATCH(Composições!A2023,Orçamentária!A:A,0),1))</f>
        <v>m2</v>
      </c>
      <c r="E2023" s="27"/>
      <c r="F2023" s="42" t="s">
        <v>572</v>
      </c>
      <c r="G2023" s="28" t="str">
        <f t="shared" si="33"/>
        <v/>
      </c>
      <c r="H2023" s="29"/>
      <c r="I2023" s="30"/>
      <c r="J2023" s="156">
        <v>2</v>
      </c>
    </row>
    <row r="2024" spans="1:10" x14ac:dyDescent="0.25">
      <c r="A2024" s="222"/>
      <c r="B2024" s="225"/>
      <c r="C2024" s="32"/>
      <c r="D2024" s="32"/>
      <c r="E2024" s="33"/>
      <c r="F2024" s="43" t="s">
        <v>572</v>
      </c>
      <c r="G2024" s="31" t="str">
        <f t="shared" si="33"/>
        <v/>
      </c>
      <c r="H2024" s="35"/>
      <c r="I2024" s="31"/>
      <c r="J2024" s="156">
        <v>2</v>
      </c>
    </row>
    <row r="2025" spans="1:10" ht="25.5" x14ac:dyDescent="0.25">
      <c r="A2025" s="222"/>
      <c r="B2025" s="225"/>
      <c r="C2025" s="36" t="s">
        <v>110</v>
      </c>
      <c r="D2025" s="47" t="s">
        <v>12</v>
      </c>
      <c r="E2025" s="37">
        <v>0.1</v>
      </c>
      <c r="F2025" s="31">
        <v>16.891000000000002</v>
      </c>
      <c r="G2025" s="34">
        <f t="shared" si="33"/>
        <v>1.6891000000000003</v>
      </c>
      <c r="H2025" s="39">
        <f>SUM(G2025:G2027)</f>
        <v>124.38080000000001</v>
      </c>
      <c r="I2025" s="40"/>
      <c r="J2025" s="156">
        <v>2</v>
      </c>
    </row>
    <row r="2026" spans="1:10" x14ac:dyDescent="0.25">
      <c r="A2026" s="222"/>
      <c r="B2026" s="225"/>
      <c r="C2026" s="36" t="s">
        <v>39</v>
      </c>
      <c r="D2026" s="47" t="s">
        <v>12</v>
      </c>
      <c r="E2026" s="37">
        <v>0.1</v>
      </c>
      <c r="F2026" s="31">
        <v>21.622</v>
      </c>
      <c r="G2026" s="34">
        <f t="shared" si="33"/>
        <v>2.1621999999999999</v>
      </c>
      <c r="H2026" s="35"/>
      <c r="I2026" s="31"/>
      <c r="J2026" s="156">
        <v>2</v>
      </c>
    </row>
    <row r="2027" spans="1:10" ht="25.5" x14ac:dyDescent="0.25">
      <c r="A2027" s="222"/>
      <c r="B2027" s="225"/>
      <c r="C2027" s="36" t="s">
        <v>693</v>
      </c>
      <c r="D2027" s="47" t="s">
        <v>96</v>
      </c>
      <c r="E2027" s="37">
        <v>1.05</v>
      </c>
      <c r="F2027" s="34">
        <v>114.79</v>
      </c>
      <c r="G2027" s="34">
        <f t="shared" si="33"/>
        <v>120.52950000000001</v>
      </c>
      <c r="H2027" s="35"/>
      <c r="I2027" s="31"/>
      <c r="J2027" s="156">
        <v>2</v>
      </c>
    </row>
    <row r="2028" spans="1:10" ht="15.75" thickBot="1" x14ac:dyDescent="0.3">
      <c r="A2028" s="223"/>
      <c r="B2028" s="226"/>
      <c r="C2028" s="36"/>
      <c r="D2028" s="36"/>
      <c r="E2028" s="37"/>
      <c r="F2028" s="31" t="s">
        <v>572</v>
      </c>
      <c r="G2028" s="31" t="str">
        <f t="shared" si="33"/>
        <v/>
      </c>
      <c r="H2028" s="35"/>
      <c r="I2028" s="31"/>
      <c r="J2028" s="156">
        <v>2</v>
      </c>
    </row>
    <row r="2029" spans="1:10" ht="15.75" hidden="1" thickBot="1" x14ac:dyDescent="0.3">
      <c r="A2029" s="221" t="s">
        <v>694</v>
      </c>
      <c r="B2029" s="224" t="str">
        <f>INDEX(Orçamentária!A:B,MATCH(Composições!A2029,Orçamentária!A:A,0),2)</f>
        <v>Isolamento elastomérico para tubulações de cobre de 1 1/8" / tubulações de ferro de 3/4"</v>
      </c>
      <c r="C2029" s="41"/>
      <c r="D2029" s="26" t="str">
        <f>TRIM(INDEX(Orçamentária!C:C,MATCH(Composições!A2029,Orçamentária!A:A,0),1))</f>
        <v>m</v>
      </c>
      <c r="E2029" s="27"/>
      <c r="F2029" s="42" t="s">
        <v>572</v>
      </c>
      <c r="G2029" s="28" t="str">
        <f t="shared" si="33"/>
        <v/>
      </c>
      <c r="H2029" s="29"/>
      <c r="I2029" s="30"/>
      <c r="J2029" s="156">
        <v>0</v>
      </c>
    </row>
    <row r="2030" spans="1:10" ht="15.75" hidden="1" thickBot="1" x14ac:dyDescent="0.3">
      <c r="A2030" s="222"/>
      <c r="B2030" s="225"/>
      <c r="C2030" s="32"/>
      <c r="D2030" s="32"/>
      <c r="E2030" s="33"/>
      <c r="F2030" s="43" t="s">
        <v>572</v>
      </c>
      <c r="G2030" s="31" t="str">
        <f t="shared" si="33"/>
        <v/>
      </c>
      <c r="H2030" s="35"/>
      <c r="I2030" s="31"/>
      <c r="J2030" s="156">
        <v>0</v>
      </c>
    </row>
    <row r="2031" spans="1:10" ht="51.75" hidden="1" thickBot="1" x14ac:dyDescent="0.3">
      <c r="A2031" s="222"/>
      <c r="B2031" s="225"/>
      <c r="C2031" s="36" t="s">
        <v>695</v>
      </c>
      <c r="D2031" s="47" t="s">
        <v>94</v>
      </c>
      <c r="E2031" s="37">
        <v>1.0210999999999999</v>
      </c>
      <c r="F2031" s="34" t="s">
        <v>572</v>
      </c>
      <c r="G2031" s="34" t="str">
        <f t="shared" si="33"/>
        <v/>
      </c>
      <c r="H2031" s="39">
        <f>SUM(G2031:G2033)</f>
        <v>0.73944959999999993</v>
      </c>
      <c r="I2031" s="40"/>
      <c r="J2031" s="156">
        <v>0</v>
      </c>
    </row>
    <row r="2032" spans="1:10" ht="26.25" hidden="1" thickBot="1" x14ac:dyDescent="0.3">
      <c r="A2032" s="222"/>
      <c r="B2032" s="225"/>
      <c r="C2032" s="36" t="s">
        <v>110</v>
      </c>
      <c r="D2032" s="47" t="s">
        <v>12</v>
      </c>
      <c r="E2032" s="37">
        <f>0.064*0.3</f>
        <v>1.9199999999999998E-2</v>
      </c>
      <c r="F2032" s="31">
        <v>16.891000000000002</v>
      </c>
      <c r="G2032" s="34">
        <f t="shared" si="33"/>
        <v>0.32430720000000002</v>
      </c>
      <c r="H2032" s="35"/>
      <c r="I2032" s="31"/>
      <c r="J2032" s="156">
        <v>0</v>
      </c>
    </row>
    <row r="2033" spans="1:10" ht="15.75" hidden="1" thickBot="1" x14ac:dyDescent="0.3">
      <c r="A2033" s="222"/>
      <c r="B2033" s="225"/>
      <c r="C2033" s="36" t="s">
        <v>39</v>
      </c>
      <c r="D2033" s="47" t="s">
        <v>12</v>
      </c>
      <c r="E2033" s="37">
        <f>0.064*0.3</f>
        <v>1.9199999999999998E-2</v>
      </c>
      <c r="F2033" s="31">
        <v>21.622</v>
      </c>
      <c r="G2033" s="34">
        <f t="shared" si="33"/>
        <v>0.41514239999999997</v>
      </c>
      <c r="H2033" s="35"/>
      <c r="I2033" s="31"/>
      <c r="J2033" s="156">
        <v>0</v>
      </c>
    </row>
    <row r="2034" spans="1:10" ht="15.75" hidden="1" thickBot="1" x14ac:dyDescent="0.3">
      <c r="A2034" s="222"/>
      <c r="B2034" s="225"/>
      <c r="C2034" s="36"/>
      <c r="D2034" s="47"/>
      <c r="E2034" s="37"/>
      <c r="F2034" s="34" t="s">
        <v>572</v>
      </c>
      <c r="G2034" s="34" t="str">
        <f t="shared" si="33"/>
        <v/>
      </c>
      <c r="H2034" s="35"/>
      <c r="I2034" s="31"/>
      <c r="J2034" s="156">
        <v>0</v>
      </c>
    </row>
    <row r="2035" spans="1:10" ht="39" hidden="1" thickBot="1" x14ac:dyDescent="0.3">
      <c r="A2035" s="222"/>
      <c r="B2035" s="225"/>
      <c r="C2035" s="52" t="s">
        <v>696</v>
      </c>
      <c r="D2035" s="47"/>
      <c r="E2035" s="37"/>
      <c r="F2035" s="34" t="s">
        <v>572</v>
      </c>
      <c r="G2035" s="34" t="str">
        <f t="shared" si="33"/>
        <v/>
      </c>
      <c r="H2035" s="35"/>
      <c r="I2035" s="31"/>
      <c r="J2035" s="156">
        <v>0</v>
      </c>
    </row>
    <row r="2036" spans="1:10" ht="15.75" hidden="1" thickBot="1" x14ac:dyDescent="0.3">
      <c r="A2036" s="223"/>
      <c r="B2036" s="226"/>
      <c r="C2036" s="36"/>
      <c r="D2036" s="36"/>
      <c r="E2036" s="37"/>
      <c r="F2036" s="31" t="s">
        <v>572</v>
      </c>
      <c r="G2036" s="31" t="str">
        <f t="shared" si="33"/>
        <v/>
      </c>
      <c r="H2036" s="35"/>
      <c r="I2036" s="31"/>
      <c r="J2036" s="156">
        <v>0</v>
      </c>
    </row>
    <row r="2037" spans="1:10" ht="15.75" hidden="1" thickBot="1" x14ac:dyDescent="0.3">
      <c r="A2037" s="221" t="s">
        <v>697</v>
      </c>
      <c r="B2037" s="224" t="str">
        <f>INDEX(Orçamentária!A:B,MATCH(Composições!A2037,Orçamentária!A:A,0),2)</f>
        <v>Isolamento elastomérico para tubulações de cobre de 1/2"</v>
      </c>
      <c r="C2037" s="41"/>
      <c r="D2037" s="26" t="str">
        <f>TRIM(INDEX(Orçamentária!C:C,MATCH(Composições!A2037,Orçamentária!A:A,0),1))</f>
        <v>m</v>
      </c>
      <c r="E2037" s="27"/>
      <c r="F2037" s="42" t="s">
        <v>572</v>
      </c>
      <c r="G2037" s="28" t="str">
        <f t="shared" si="33"/>
        <v/>
      </c>
      <c r="H2037" s="29"/>
      <c r="I2037" s="30"/>
      <c r="J2037" s="156">
        <v>0</v>
      </c>
    </row>
    <row r="2038" spans="1:10" ht="15.75" hidden="1" thickBot="1" x14ac:dyDescent="0.3">
      <c r="A2038" s="222"/>
      <c r="B2038" s="225"/>
      <c r="C2038" s="32"/>
      <c r="D2038" s="32"/>
      <c r="E2038" s="33"/>
      <c r="F2038" s="43" t="s">
        <v>572</v>
      </c>
      <c r="G2038" s="31" t="str">
        <f t="shared" si="33"/>
        <v/>
      </c>
      <c r="H2038" s="35"/>
      <c r="I2038" s="31"/>
      <c r="J2038" s="156">
        <v>0</v>
      </c>
    </row>
    <row r="2039" spans="1:10" ht="39" hidden="1" thickBot="1" x14ac:dyDescent="0.3">
      <c r="A2039" s="222"/>
      <c r="B2039" s="225"/>
      <c r="C2039" s="36" t="s">
        <v>698</v>
      </c>
      <c r="D2039" s="47" t="s">
        <v>94</v>
      </c>
      <c r="E2039" s="37">
        <v>1.0210999999999999</v>
      </c>
      <c r="F2039" s="34" t="s">
        <v>572</v>
      </c>
      <c r="G2039" s="34" t="str">
        <f t="shared" si="33"/>
        <v/>
      </c>
      <c r="H2039" s="39">
        <f>SUM(G2039:G2041)</f>
        <v>0.70478790000000002</v>
      </c>
      <c r="I2039" s="40"/>
      <c r="J2039" s="156">
        <v>0</v>
      </c>
    </row>
    <row r="2040" spans="1:10" ht="26.25" hidden="1" thickBot="1" x14ac:dyDescent="0.3">
      <c r="A2040" s="222"/>
      <c r="B2040" s="225"/>
      <c r="C2040" s="36" t="s">
        <v>110</v>
      </c>
      <c r="D2040" s="47" t="s">
        <v>12</v>
      </c>
      <c r="E2040" s="37">
        <f>0.061*0.3</f>
        <v>1.83E-2</v>
      </c>
      <c r="F2040" s="31">
        <v>16.891000000000002</v>
      </c>
      <c r="G2040" s="34">
        <f t="shared" si="33"/>
        <v>0.30910530000000003</v>
      </c>
      <c r="H2040" s="35"/>
      <c r="I2040" s="31"/>
      <c r="J2040" s="156">
        <v>0</v>
      </c>
    </row>
    <row r="2041" spans="1:10" ht="15.75" hidden="1" thickBot="1" x14ac:dyDescent="0.3">
      <c r="A2041" s="222"/>
      <c r="B2041" s="225"/>
      <c r="C2041" s="36" t="s">
        <v>39</v>
      </c>
      <c r="D2041" s="47" t="s">
        <v>12</v>
      </c>
      <c r="E2041" s="37">
        <f>0.061*0.3</f>
        <v>1.83E-2</v>
      </c>
      <c r="F2041" s="31">
        <v>21.622</v>
      </c>
      <c r="G2041" s="34">
        <f t="shared" si="33"/>
        <v>0.3956826</v>
      </c>
      <c r="H2041" s="35"/>
      <c r="I2041" s="31"/>
      <c r="J2041" s="156">
        <v>0</v>
      </c>
    </row>
    <row r="2042" spans="1:10" ht="15.75" hidden="1" thickBot="1" x14ac:dyDescent="0.3">
      <c r="A2042" s="222"/>
      <c r="B2042" s="225"/>
      <c r="C2042" s="36"/>
      <c r="D2042" s="47"/>
      <c r="E2042" s="37"/>
      <c r="F2042" s="34" t="s">
        <v>572</v>
      </c>
      <c r="G2042" s="34" t="str">
        <f t="shared" si="33"/>
        <v/>
      </c>
      <c r="H2042" s="35"/>
      <c r="I2042" s="31"/>
      <c r="J2042" s="156">
        <v>0</v>
      </c>
    </row>
    <row r="2043" spans="1:10" ht="39" hidden="1" thickBot="1" x14ac:dyDescent="0.3">
      <c r="A2043" s="222"/>
      <c r="B2043" s="225"/>
      <c r="C2043" s="52" t="s">
        <v>696</v>
      </c>
      <c r="D2043" s="47"/>
      <c r="E2043" s="37"/>
      <c r="F2043" s="34" t="s">
        <v>572</v>
      </c>
      <c r="G2043" s="34" t="str">
        <f t="shared" si="33"/>
        <v/>
      </c>
      <c r="H2043" s="35"/>
      <c r="I2043" s="31"/>
      <c r="J2043" s="156">
        <v>0</v>
      </c>
    </row>
    <row r="2044" spans="1:10" ht="15.75" hidden="1" thickBot="1" x14ac:dyDescent="0.3">
      <c r="A2044" s="223"/>
      <c r="B2044" s="226"/>
      <c r="C2044" s="36"/>
      <c r="D2044" s="36"/>
      <c r="E2044" s="37"/>
      <c r="F2044" s="31" t="s">
        <v>572</v>
      </c>
      <c r="G2044" s="31" t="str">
        <f t="shared" si="33"/>
        <v/>
      </c>
      <c r="H2044" s="35"/>
      <c r="I2044" s="31"/>
      <c r="J2044" s="156">
        <v>0</v>
      </c>
    </row>
    <row r="2045" spans="1:10" ht="15.75" hidden="1" thickBot="1" x14ac:dyDescent="0.3">
      <c r="A2045" s="221" t="s">
        <v>699</v>
      </c>
      <c r="B2045" s="224" t="str">
        <f>INDEX(Orçamentária!A:B,MATCH(Composições!A2045,Orçamentária!A:A,0),2)</f>
        <v>Isolamento elastomérico para tubulações de cobre de 1/4"</v>
      </c>
      <c r="C2045" s="41"/>
      <c r="D2045" s="26" t="str">
        <f>TRIM(INDEX(Orçamentária!C:C,MATCH(Composições!A2045,Orçamentária!A:A,0),1))</f>
        <v>m</v>
      </c>
      <c r="E2045" s="27"/>
      <c r="F2045" s="42" t="s">
        <v>572</v>
      </c>
      <c r="G2045" s="28" t="str">
        <f t="shared" si="33"/>
        <v/>
      </c>
      <c r="H2045" s="29"/>
      <c r="I2045" s="30"/>
      <c r="J2045" s="156">
        <v>0</v>
      </c>
    </row>
    <row r="2046" spans="1:10" ht="15.75" hidden="1" thickBot="1" x14ac:dyDescent="0.3">
      <c r="A2046" s="222"/>
      <c r="B2046" s="225"/>
      <c r="C2046" s="32"/>
      <c r="D2046" s="32"/>
      <c r="E2046" s="33"/>
      <c r="F2046" s="43" t="s">
        <v>572</v>
      </c>
      <c r="G2046" s="31" t="str">
        <f t="shared" si="33"/>
        <v/>
      </c>
      <c r="H2046" s="35"/>
      <c r="I2046" s="31"/>
      <c r="J2046" s="156">
        <v>0</v>
      </c>
    </row>
    <row r="2047" spans="1:10" ht="39" hidden="1" thickBot="1" x14ac:dyDescent="0.3">
      <c r="A2047" s="222"/>
      <c r="B2047" s="225"/>
      <c r="C2047" s="36" t="s">
        <v>700</v>
      </c>
      <c r="D2047" s="47" t="s">
        <v>94</v>
      </c>
      <c r="E2047" s="37">
        <v>1.0210999999999999</v>
      </c>
      <c r="F2047" s="34" t="s">
        <v>572</v>
      </c>
      <c r="G2047" s="34" t="str">
        <f t="shared" si="33"/>
        <v/>
      </c>
      <c r="H2047" s="39">
        <f>SUM(G2047:G2049)</f>
        <v>0.60080279999999997</v>
      </c>
      <c r="I2047" s="40"/>
      <c r="J2047" s="156">
        <v>0</v>
      </c>
    </row>
    <row r="2048" spans="1:10" ht="26.25" hidden="1" thickBot="1" x14ac:dyDescent="0.3">
      <c r="A2048" s="222"/>
      <c r="B2048" s="225"/>
      <c r="C2048" s="36" t="s">
        <v>110</v>
      </c>
      <c r="D2048" s="47" t="s">
        <v>12</v>
      </c>
      <c r="E2048" s="37">
        <f>0.052*0.3</f>
        <v>1.5599999999999999E-2</v>
      </c>
      <c r="F2048" s="31">
        <v>16.891000000000002</v>
      </c>
      <c r="G2048" s="34">
        <f t="shared" si="33"/>
        <v>0.2634996</v>
      </c>
      <c r="H2048" s="35"/>
      <c r="I2048" s="31"/>
      <c r="J2048" s="156">
        <v>0</v>
      </c>
    </row>
    <row r="2049" spans="1:10" ht="15.75" hidden="1" thickBot="1" x14ac:dyDescent="0.3">
      <c r="A2049" s="222"/>
      <c r="B2049" s="225"/>
      <c r="C2049" s="36" t="s">
        <v>39</v>
      </c>
      <c r="D2049" s="47" t="s">
        <v>12</v>
      </c>
      <c r="E2049" s="37">
        <f>0.052*0.3</f>
        <v>1.5599999999999999E-2</v>
      </c>
      <c r="F2049" s="31">
        <v>21.622</v>
      </c>
      <c r="G2049" s="34">
        <f t="shared" si="33"/>
        <v>0.33730319999999997</v>
      </c>
      <c r="H2049" s="35"/>
      <c r="I2049" s="31"/>
      <c r="J2049" s="156">
        <v>0</v>
      </c>
    </row>
    <row r="2050" spans="1:10" ht="15.75" hidden="1" thickBot="1" x14ac:dyDescent="0.3">
      <c r="A2050" s="222"/>
      <c r="B2050" s="225"/>
      <c r="C2050" s="36"/>
      <c r="D2050" s="47"/>
      <c r="E2050" s="37"/>
      <c r="F2050" s="34" t="s">
        <v>572</v>
      </c>
      <c r="G2050" s="34" t="str">
        <f t="shared" si="33"/>
        <v/>
      </c>
      <c r="H2050" s="35"/>
      <c r="I2050" s="31"/>
      <c r="J2050" s="156">
        <v>0</v>
      </c>
    </row>
    <row r="2051" spans="1:10" ht="39" hidden="1" thickBot="1" x14ac:dyDescent="0.3">
      <c r="A2051" s="222"/>
      <c r="B2051" s="225"/>
      <c r="C2051" s="52" t="s">
        <v>696</v>
      </c>
      <c r="D2051" s="47"/>
      <c r="E2051" s="37"/>
      <c r="F2051" s="34" t="s">
        <v>572</v>
      </c>
      <c r="G2051" s="34" t="str">
        <f t="shared" si="33"/>
        <v/>
      </c>
      <c r="H2051" s="35"/>
      <c r="I2051" s="31"/>
      <c r="J2051" s="156">
        <v>0</v>
      </c>
    </row>
    <row r="2052" spans="1:10" ht="15.75" hidden="1" thickBot="1" x14ac:dyDescent="0.3">
      <c r="A2052" s="223"/>
      <c r="B2052" s="226"/>
      <c r="C2052" s="36"/>
      <c r="D2052" s="36"/>
      <c r="E2052" s="37"/>
      <c r="F2052" s="31" t="s">
        <v>572</v>
      </c>
      <c r="G2052" s="31" t="str">
        <f t="shared" si="33"/>
        <v/>
      </c>
      <c r="H2052" s="35"/>
      <c r="I2052" s="31"/>
      <c r="J2052" s="156">
        <v>0</v>
      </c>
    </row>
    <row r="2053" spans="1:10" ht="15.75" hidden="1" thickBot="1" x14ac:dyDescent="0.3">
      <c r="A2053" s="221" t="s">
        <v>701</v>
      </c>
      <c r="B2053" s="224" t="str">
        <f>INDEX(Orçamentária!A:B,MATCH(Composições!A2053,Orçamentária!A:A,0),2)</f>
        <v>Isolamento elastomérico para tubulações de cobre de 3/4"</v>
      </c>
      <c r="C2053" s="41"/>
      <c r="D2053" s="26" t="str">
        <f>TRIM(INDEX(Orçamentária!C:C,MATCH(Composições!A2053,Orçamentária!A:A,0),1))</f>
        <v>m</v>
      </c>
      <c r="E2053" s="27"/>
      <c r="F2053" s="42" t="s">
        <v>572</v>
      </c>
      <c r="G2053" s="28" t="str">
        <f t="shared" si="33"/>
        <v/>
      </c>
      <c r="H2053" s="29"/>
      <c r="I2053" s="30"/>
      <c r="J2053" s="156">
        <v>0</v>
      </c>
    </row>
    <row r="2054" spans="1:10" ht="15.75" hidden="1" thickBot="1" x14ac:dyDescent="0.3">
      <c r="A2054" s="222"/>
      <c r="B2054" s="225"/>
      <c r="C2054" s="32"/>
      <c r="D2054" s="32"/>
      <c r="E2054" s="33"/>
      <c r="F2054" s="43" t="s">
        <v>572</v>
      </c>
      <c r="G2054" s="31" t="str">
        <f t="shared" si="33"/>
        <v/>
      </c>
      <c r="H2054" s="35"/>
      <c r="I2054" s="31"/>
      <c r="J2054" s="156">
        <v>0</v>
      </c>
    </row>
    <row r="2055" spans="1:10" ht="39" hidden="1" thickBot="1" x14ac:dyDescent="0.3">
      <c r="A2055" s="222"/>
      <c r="B2055" s="225"/>
      <c r="C2055" s="36" t="s">
        <v>702</v>
      </c>
      <c r="D2055" s="47" t="s">
        <v>94</v>
      </c>
      <c r="E2055" s="37">
        <v>1.0210999999999999</v>
      </c>
      <c r="F2055" s="34" t="s">
        <v>572</v>
      </c>
      <c r="G2055" s="34" t="str">
        <f t="shared" si="33"/>
        <v/>
      </c>
      <c r="H2055" s="39">
        <f>SUM(G2055:G2057)</f>
        <v>0.73944959999999993</v>
      </c>
      <c r="I2055" s="40"/>
      <c r="J2055" s="156">
        <v>0</v>
      </c>
    </row>
    <row r="2056" spans="1:10" ht="26.25" hidden="1" thickBot="1" x14ac:dyDescent="0.3">
      <c r="A2056" s="222"/>
      <c r="B2056" s="225"/>
      <c r="C2056" s="36" t="s">
        <v>110</v>
      </c>
      <c r="D2056" s="47" t="s">
        <v>12</v>
      </c>
      <c r="E2056" s="37">
        <f>0.064*0.3</f>
        <v>1.9199999999999998E-2</v>
      </c>
      <c r="F2056" s="31">
        <v>16.891000000000002</v>
      </c>
      <c r="G2056" s="34">
        <f t="shared" si="33"/>
        <v>0.32430720000000002</v>
      </c>
      <c r="H2056" s="35"/>
      <c r="I2056" s="31"/>
      <c r="J2056" s="156">
        <v>0</v>
      </c>
    </row>
    <row r="2057" spans="1:10" ht="15.75" hidden="1" thickBot="1" x14ac:dyDescent="0.3">
      <c r="A2057" s="222"/>
      <c r="B2057" s="225"/>
      <c r="C2057" s="36" t="s">
        <v>39</v>
      </c>
      <c r="D2057" s="47" t="s">
        <v>12</v>
      </c>
      <c r="E2057" s="37">
        <f>0.064*0.3</f>
        <v>1.9199999999999998E-2</v>
      </c>
      <c r="F2057" s="31">
        <v>21.622</v>
      </c>
      <c r="G2057" s="34">
        <f t="shared" si="33"/>
        <v>0.41514239999999997</v>
      </c>
      <c r="H2057" s="35"/>
      <c r="I2057" s="31"/>
      <c r="J2057" s="156">
        <v>0</v>
      </c>
    </row>
    <row r="2058" spans="1:10" ht="15.75" hidden="1" thickBot="1" x14ac:dyDescent="0.3">
      <c r="A2058" s="222"/>
      <c r="B2058" s="225"/>
      <c r="C2058" s="36"/>
      <c r="D2058" s="47"/>
      <c r="E2058" s="37"/>
      <c r="F2058" s="34" t="s">
        <v>572</v>
      </c>
      <c r="G2058" s="34" t="str">
        <f t="shared" si="33"/>
        <v/>
      </c>
      <c r="H2058" s="35"/>
      <c r="I2058" s="31"/>
      <c r="J2058" s="156">
        <v>0</v>
      </c>
    </row>
    <row r="2059" spans="1:10" ht="39" hidden="1" thickBot="1" x14ac:dyDescent="0.3">
      <c r="A2059" s="222"/>
      <c r="B2059" s="225"/>
      <c r="C2059" s="52" t="s">
        <v>696</v>
      </c>
      <c r="D2059" s="47"/>
      <c r="E2059" s="37"/>
      <c r="F2059" s="34" t="s">
        <v>572</v>
      </c>
      <c r="G2059" s="34" t="str">
        <f t="shared" si="33"/>
        <v/>
      </c>
      <c r="H2059" s="35"/>
      <c r="I2059" s="31"/>
      <c r="J2059" s="156">
        <v>0</v>
      </c>
    </row>
    <row r="2060" spans="1:10" ht="15.75" hidden="1" thickBot="1" x14ac:dyDescent="0.3">
      <c r="A2060" s="223"/>
      <c r="B2060" s="226"/>
      <c r="C2060" s="36"/>
      <c r="D2060" s="36"/>
      <c r="E2060" s="37"/>
      <c r="F2060" s="31" t="s">
        <v>572</v>
      </c>
      <c r="G2060" s="31" t="str">
        <f t="shared" si="33"/>
        <v/>
      </c>
      <c r="H2060" s="35"/>
      <c r="I2060" s="31"/>
      <c r="J2060" s="156">
        <v>0</v>
      </c>
    </row>
    <row r="2061" spans="1:10" ht="15.75" hidden="1" thickBot="1" x14ac:dyDescent="0.3">
      <c r="A2061" s="221" t="s">
        <v>703</v>
      </c>
      <c r="B2061" s="224" t="str">
        <f>INDEX(Orçamentária!A:B,MATCH(Composições!A2061,Orçamentária!A:A,0),2)</f>
        <v>Isolamento elastomérico para tubulações de cobre de 3/8"</v>
      </c>
      <c r="C2061" s="41"/>
      <c r="D2061" s="26" t="str">
        <f>TRIM(INDEX(Orçamentária!C:C,MATCH(Composições!A2061,Orçamentária!A:A,0),1))</f>
        <v>m</v>
      </c>
      <c r="E2061" s="27"/>
      <c r="F2061" s="42" t="s">
        <v>572</v>
      </c>
      <c r="G2061" s="28" t="str">
        <f t="shared" si="33"/>
        <v/>
      </c>
      <c r="H2061" s="29"/>
      <c r="I2061" s="30"/>
      <c r="J2061" s="156">
        <v>0</v>
      </c>
    </row>
    <row r="2062" spans="1:10" ht="15.75" hidden="1" thickBot="1" x14ac:dyDescent="0.3">
      <c r="A2062" s="222"/>
      <c r="B2062" s="225"/>
      <c r="C2062" s="32"/>
      <c r="D2062" s="32"/>
      <c r="E2062" s="33"/>
      <c r="F2062" s="43" t="s">
        <v>572</v>
      </c>
      <c r="G2062" s="31" t="str">
        <f t="shared" si="33"/>
        <v/>
      </c>
      <c r="H2062" s="35"/>
      <c r="I2062" s="31"/>
      <c r="J2062" s="156">
        <v>0</v>
      </c>
    </row>
    <row r="2063" spans="1:10" ht="39" hidden="1" thickBot="1" x14ac:dyDescent="0.3">
      <c r="A2063" s="222"/>
      <c r="B2063" s="225"/>
      <c r="C2063" s="36" t="s">
        <v>704</v>
      </c>
      <c r="D2063" s="47" t="s">
        <v>94</v>
      </c>
      <c r="E2063" s="37">
        <v>1.0210999999999999</v>
      </c>
      <c r="F2063" s="34" t="s">
        <v>572</v>
      </c>
      <c r="G2063" s="34" t="str">
        <f t="shared" si="33"/>
        <v/>
      </c>
      <c r="H2063" s="39">
        <f>SUM(G2063:G2065)</f>
        <v>0.65857230000000011</v>
      </c>
      <c r="I2063" s="40"/>
      <c r="J2063" s="156">
        <v>0</v>
      </c>
    </row>
    <row r="2064" spans="1:10" ht="26.25" hidden="1" thickBot="1" x14ac:dyDescent="0.3">
      <c r="A2064" s="222"/>
      <c r="B2064" s="225"/>
      <c r="C2064" s="36" t="s">
        <v>110</v>
      </c>
      <c r="D2064" s="47" t="s">
        <v>12</v>
      </c>
      <c r="E2064" s="37">
        <f>0.057*0.3</f>
        <v>1.7100000000000001E-2</v>
      </c>
      <c r="F2064" s="31">
        <v>16.891000000000002</v>
      </c>
      <c r="G2064" s="34">
        <f t="shared" si="33"/>
        <v>0.28883610000000004</v>
      </c>
      <c r="H2064" s="35"/>
      <c r="I2064" s="31"/>
      <c r="J2064" s="156">
        <v>0</v>
      </c>
    </row>
    <row r="2065" spans="1:10" ht="15.75" hidden="1" thickBot="1" x14ac:dyDescent="0.3">
      <c r="A2065" s="222"/>
      <c r="B2065" s="225"/>
      <c r="C2065" s="36" t="s">
        <v>39</v>
      </c>
      <c r="D2065" s="47" t="s">
        <v>12</v>
      </c>
      <c r="E2065" s="37">
        <f>0.057*0.3</f>
        <v>1.7100000000000001E-2</v>
      </c>
      <c r="F2065" s="31">
        <v>21.622</v>
      </c>
      <c r="G2065" s="34">
        <f t="shared" si="33"/>
        <v>0.36973620000000001</v>
      </c>
      <c r="H2065" s="35"/>
      <c r="I2065" s="31"/>
      <c r="J2065" s="156">
        <v>0</v>
      </c>
    </row>
    <row r="2066" spans="1:10" ht="15.75" hidden="1" thickBot="1" x14ac:dyDescent="0.3">
      <c r="A2066" s="222"/>
      <c r="B2066" s="225"/>
      <c r="C2066" s="36"/>
      <c r="D2066" s="47"/>
      <c r="E2066" s="37"/>
      <c r="F2066" s="34" t="s">
        <v>572</v>
      </c>
      <c r="G2066" s="34" t="str">
        <f t="shared" si="33"/>
        <v/>
      </c>
      <c r="H2066" s="35"/>
      <c r="I2066" s="31"/>
      <c r="J2066" s="156">
        <v>0</v>
      </c>
    </row>
    <row r="2067" spans="1:10" ht="39" hidden="1" thickBot="1" x14ac:dyDescent="0.3">
      <c r="A2067" s="222"/>
      <c r="B2067" s="225"/>
      <c r="C2067" s="52" t="s">
        <v>696</v>
      </c>
      <c r="D2067" s="47"/>
      <c r="E2067" s="37"/>
      <c r="F2067" s="34" t="s">
        <v>572</v>
      </c>
      <c r="G2067" s="34" t="str">
        <f t="shared" si="33"/>
        <v/>
      </c>
      <c r="H2067" s="35"/>
      <c r="I2067" s="31"/>
      <c r="J2067" s="156">
        <v>0</v>
      </c>
    </row>
    <row r="2068" spans="1:10" ht="15.75" hidden="1" thickBot="1" x14ac:dyDescent="0.3">
      <c r="A2068" s="223"/>
      <c r="B2068" s="226"/>
      <c r="C2068" s="36"/>
      <c r="D2068" s="36"/>
      <c r="E2068" s="37"/>
      <c r="F2068" s="31" t="s">
        <v>572</v>
      </c>
      <c r="G2068" s="31" t="str">
        <f t="shared" si="33"/>
        <v/>
      </c>
      <c r="H2068" s="35"/>
      <c r="I2068" s="31"/>
      <c r="J2068" s="156">
        <v>0</v>
      </c>
    </row>
    <row r="2069" spans="1:10" ht="15.75" hidden="1" thickBot="1" x14ac:dyDescent="0.3">
      <c r="A2069" s="221" t="s">
        <v>705</v>
      </c>
      <c r="B2069" s="224" t="str">
        <f>INDEX(Orçamentária!A:B,MATCH(Composições!A2069,Orçamentária!A:A,0),2)</f>
        <v>Isolamento elastomérico para tubulações de cobre de 5/8"</v>
      </c>
      <c r="C2069" s="41"/>
      <c r="D2069" s="26" t="str">
        <f>TRIM(INDEX(Orçamentária!C:C,MATCH(Composições!A2069,Orçamentária!A:A,0),1))</f>
        <v>m</v>
      </c>
      <c r="E2069" s="27"/>
      <c r="F2069" s="42" t="s">
        <v>572</v>
      </c>
      <c r="G2069" s="28" t="str">
        <f t="shared" ref="G2069:G2132" si="34">IF(ISNUMBER(F2069),E2069*F2069,"")</f>
        <v/>
      </c>
      <c r="H2069" s="29"/>
      <c r="I2069" s="30"/>
      <c r="J2069" s="156">
        <v>0</v>
      </c>
    </row>
    <row r="2070" spans="1:10" ht="15.75" hidden="1" thickBot="1" x14ac:dyDescent="0.3">
      <c r="A2070" s="222"/>
      <c r="B2070" s="225"/>
      <c r="C2070" s="32"/>
      <c r="D2070" s="32"/>
      <c r="E2070" s="33"/>
      <c r="F2070" s="43" t="s">
        <v>572</v>
      </c>
      <c r="G2070" s="31" t="str">
        <f t="shared" si="34"/>
        <v/>
      </c>
      <c r="H2070" s="35"/>
      <c r="I2070" s="31"/>
      <c r="J2070" s="156">
        <v>0</v>
      </c>
    </row>
    <row r="2071" spans="1:10" ht="39" hidden="1" thickBot="1" x14ac:dyDescent="0.3">
      <c r="A2071" s="222"/>
      <c r="B2071" s="225"/>
      <c r="C2071" s="36" t="s">
        <v>706</v>
      </c>
      <c r="D2071" s="47" t="s">
        <v>94</v>
      </c>
      <c r="E2071" s="37">
        <v>1.0210999999999999</v>
      </c>
      <c r="F2071" s="34" t="s">
        <v>572</v>
      </c>
      <c r="G2071" s="34" t="str">
        <f t="shared" si="34"/>
        <v/>
      </c>
      <c r="H2071" s="39">
        <f>SUM(G2071:G2073)</f>
        <v>0.73944959999999993</v>
      </c>
      <c r="I2071" s="40"/>
      <c r="J2071" s="156">
        <v>0</v>
      </c>
    </row>
    <row r="2072" spans="1:10" ht="26.25" hidden="1" thickBot="1" x14ac:dyDescent="0.3">
      <c r="A2072" s="222"/>
      <c r="B2072" s="225"/>
      <c r="C2072" s="36" t="s">
        <v>110</v>
      </c>
      <c r="D2072" s="47" t="s">
        <v>12</v>
      </c>
      <c r="E2072" s="37">
        <f>0.064*0.3</f>
        <v>1.9199999999999998E-2</v>
      </c>
      <c r="F2072" s="31">
        <v>16.891000000000002</v>
      </c>
      <c r="G2072" s="34">
        <f t="shared" si="34"/>
        <v>0.32430720000000002</v>
      </c>
      <c r="H2072" s="35"/>
      <c r="I2072" s="31"/>
      <c r="J2072" s="156">
        <v>0</v>
      </c>
    </row>
    <row r="2073" spans="1:10" ht="15.75" hidden="1" thickBot="1" x14ac:dyDescent="0.3">
      <c r="A2073" s="222"/>
      <c r="B2073" s="225"/>
      <c r="C2073" s="36" t="s">
        <v>39</v>
      </c>
      <c r="D2073" s="47" t="s">
        <v>12</v>
      </c>
      <c r="E2073" s="37">
        <f>0.064*0.3</f>
        <v>1.9199999999999998E-2</v>
      </c>
      <c r="F2073" s="31">
        <v>21.622</v>
      </c>
      <c r="G2073" s="34">
        <f t="shared" si="34"/>
        <v>0.41514239999999997</v>
      </c>
      <c r="H2073" s="35"/>
      <c r="I2073" s="31"/>
      <c r="J2073" s="156">
        <v>0</v>
      </c>
    </row>
    <row r="2074" spans="1:10" ht="15.75" hidden="1" thickBot="1" x14ac:dyDescent="0.3">
      <c r="A2074" s="222"/>
      <c r="B2074" s="225"/>
      <c r="C2074" s="36"/>
      <c r="D2074" s="47"/>
      <c r="E2074" s="37"/>
      <c r="F2074" s="34" t="s">
        <v>572</v>
      </c>
      <c r="G2074" s="34" t="str">
        <f t="shared" si="34"/>
        <v/>
      </c>
      <c r="H2074" s="35"/>
      <c r="I2074" s="31"/>
      <c r="J2074" s="156">
        <v>0</v>
      </c>
    </row>
    <row r="2075" spans="1:10" ht="39" hidden="1" thickBot="1" x14ac:dyDescent="0.3">
      <c r="A2075" s="222"/>
      <c r="B2075" s="225"/>
      <c r="C2075" s="52" t="s">
        <v>696</v>
      </c>
      <c r="D2075" s="47"/>
      <c r="E2075" s="37"/>
      <c r="F2075" s="34" t="s">
        <v>572</v>
      </c>
      <c r="G2075" s="34" t="str">
        <f t="shared" si="34"/>
        <v/>
      </c>
      <c r="H2075" s="35"/>
      <c r="I2075" s="31"/>
      <c r="J2075" s="156">
        <v>0</v>
      </c>
    </row>
    <row r="2076" spans="1:10" ht="15.75" hidden="1" thickBot="1" x14ac:dyDescent="0.3">
      <c r="A2076" s="223"/>
      <c r="B2076" s="226"/>
      <c r="C2076" s="36"/>
      <c r="D2076" s="36"/>
      <c r="E2076" s="37"/>
      <c r="F2076" s="31" t="s">
        <v>572</v>
      </c>
      <c r="G2076" s="31" t="str">
        <f t="shared" si="34"/>
        <v/>
      </c>
      <c r="H2076" s="35"/>
      <c r="I2076" s="31"/>
      <c r="J2076" s="156">
        <v>0</v>
      </c>
    </row>
    <row r="2077" spans="1:10" ht="15.75" hidden="1" thickBot="1" x14ac:dyDescent="0.3">
      <c r="A2077" s="221" t="s">
        <v>707</v>
      </c>
      <c r="B2077" s="224" t="str">
        <f>INDEX(Orçamentária!A:B,MATCH(Composições!A2077,Orçamentária!A:A,0),2)</f>
        <v>Isolamento elastomérico para tubulações de cobre de 7/8" / tubulações de ferro de 1/2"</v>
      </c>
      <c r="C2077" s="41"/>
      <c r="D2077" s="26" t="str">
        <f>TRIM(INDEX(Orçamentária!C:C,MATCH(Composições!A2077,Orçamentária!A:A,0),1))</f>
        <v>m</v>
      </c>
      <c r="E2077" s="27"/>
      <c r="F2077" s="42" t="s">
        <v>572</v>
      </c>
      <c r="G2077" s="28" t="str">
        <f t="shared" si="34"/>
        <v/>
      </c>
      <c r="H2077" s="29"/>
      <c r="I2077" s="30"/>
      <c r="J2077" s="156">
        <v>0</v>
      </c>
    </row>
    <row r="2078" spans="1:10" ht="15.75" hidden="1" thickBot="1" x14ac:dyDescent="0.3">
      <c r="A2078" s="222"/>
      <c r="B2078" s="225"/>
      <c r="C2078" s="32"/>
      <c r="D2078" s="32"/>
      <c r="E2078" s="33"/>
      <c r="F2078" s="43" t="s">
        <v>572</v>
      </c>
      <c r="G2078" s="31" t="str">
        <f t="shared" si="34"/>
        <v/>
      </c>
      <c r="H2078" s="35"/>
      <c r="I2078" s="31"/>
      <c r="J2078" s="156">
        <v>0</v>
      </c>
    </row>
    <row r="2079" spans="1:10" ht="51.75" hidden="1" thickBot="1" x14ac:dyDescent="0.3">
      <c r="A2079" s="222"/>
      <c r="B2079" s="225"/>
      <c r="C2079" s="36" t="s">
        <v>708</v>
      </c>
      <c r="D2079" s="47" t="s">
        <v>94</v>
      </c>
      <c r="E2079" s="37">
        <v>1.0210999999999999</v>
      </c>
      <c r="F2079" s="34" t="s">
        <v>572</v>
      </c>
      <c r="G2079" s="34" t="str">
        <f t="shared" si="34"/>
        <v/>
      </c>
      <c r="H2079" s="39">
        <f>SUM(G2079:G2081)</f>
        <v>0.73944959999999993</v>
      </c>
      <c r="I2079" s="40"/>
      <c r="J2079" s="156">
        <v>0</v>
      </c>
    </row>
    <row r="2080" spans="1:10" ht="26.25" hidden="1" thickBot="1" x14ac:dyDescent="0.3">
      <c r="A2080" s="222"/>
      <c r="B2080" s="225"/>
      <c r="C2080" s="36" t="s">
        <v>110</v>
      </c>
      <c r="D2080" s="47" t="s">
        <v>12</v>
      </c>
      <c r="E2080" s="37">
        <f>0.064*0.3</f>
        <v>1.9199999999999998E-2</v>
      </c>
      <c r="F2080" s="31">
        <v>16.891000000000002</v>
      </c>
      <c r="G2080" s="34">
        <f t="shared" si="34"/>
        <v>0.32430720000000002</v>
      </c>
      <c r="H2080" s="35"/>
      <c r="I2080" s="31"/>
      <c r="J2080" s="156">
        <v>0</v>
      </c>
    </row>
    <row r="2081" spans="1:10" ht="15.75" hidden="1" thickBot="1" x14ac:dyDescent="0.3">
      <c r="A2081" s="222"/>
      <c r="B2081" s="225"/>
      <c r="C2081" s="36" t="s">
        <v>39</v>
      </c>
      <c r="D2081" s="47" t="s">
        <v>12</v>
      </c>
      <c r="E2081" s="37">
        <f>0.064*0.3</f>
        <v>1.9199999999999998E-2</v>
      </c>
      <c r="F2081" s="31">
        <v>21.622</v>
      </c>
      <c r="G2081" s="34">
        <f t="shared" si="34"/>
        <v>0.41514239999999997</v>
      </c>
      <c r="H2081" s="35"/>
      <c r="I2081" s="31"/>
      <c r="J2081" s="156">
        <v>0</v>
      </c>
    </row>
    <row r="2082" spans="1:10" ht="15.75" hidden="1" thickBot="1" x14ac:dyDescent="0.3">
      <c r="A2082" s="222"/>
      <c r="B2082" s="225"/>
      <c r="C2082" s="36"/>
      <c r="D2082" s="47"/>
      <c r="E2082" s="37"/>
      <c r="F2082" s="34" t="s">
        <v>572</v>
      </c>
      <c r="G2082" s="34" t="str">
        <f t="shared" si="34"/>
        <v/>
      </c>
      <c r="H2082" s="35"/>
      <c r="I2082" s="31"/>
      <c r="J2082" s="156">
        <v>0</v>
      </c>
    </row>
    <row r="2083" spans="1:10" ht="39" hidden="1" thickBot="1" x14ac:dyDescent="0.3">
      <c r="A2083" s="222"/>
      <c r="B2083" s="225"/>
      <c r="C2083" s="52" t="s">
        <v>696</v>
      </c>
      <c r="D2083" s="47"/>
      <c r="E2083" s="37"/>
      <c r="F2083" s="34" t="s">
        <v>572</v>
      </c>
      <c r="G2083" s="34" t="str">
        <f t="shared" si="34"/>
        <v/>
      </c>
      <c r="H2083" s="35"/>
      <c r="I2083" s="31"/>
      <c r="J2083" s="156">
        <v>0</v>
      </c>
    </row>
    <row r="2084" spans="1:10" ht="15.75" hidden="1" thickBot="1" x14ac:dyDescent="0.3">
      <c r="A2084" s="223"/>
      <c r="B2084" s="226"/>
      <c r="C2084" s="36"/>
      <c r="D2084" s="36"/>
      <c r="E2084" s="37"/>
      <c r="F2084" s="31" t="s">
        <v>572</v>
      </c>
      <c r="G2084" s="31" t="str">
        <f t="shared" si="34"/>
        <v/>
      </c>
      <c r="H2084" s="35"/>
      <c r="I2084" s="31"/>
      <c r="J2084" s="156">
        <v>0</v>
      </c>
    </row>
    <row r="2085" spans="1:10" ht="15.75" hidden="1" thickBot="1" x14ac:dyDescent="0.3">
      <c r="A2085" s="221" t="s">
        <v>709</v>
      </c>
      <c r="B2085" s="224" t="str">
        <f>INDEX(Orçamentária!A:B,MATCH(Composições!A2085,Orçamentária!A:A,0),2)</f>
        <v>Isolamento elastomérico para tubulações de cobre de 1"</v>
      </c>
      <c r="C2085" s="41"/>
      <c r="D2085" s="26" t="str">
        <f>TRIM(INDEX(Orçamentária!C:C,MATCH(Composições!A2085,Orçamentária!A:A,0),1))</f>
        <v>m</v>
      </c>
      <c r="E2085" s="27"/>
      <c r="F2085" s="42" t="s">
        <v>572</v>
      </c>
      <c r="G2085" s="28" t="str">
        <f t="shared" si="34"/>
        <v/>
      </c>
      <c r="H2085" s="29"/>
      <c r="I2085" s="30"/>
      <c r="J2085" s="156">
        <v>0</v>
      </c>
    </row>
    <row r="2086" spans="1:10" ht="15.75" hidden="1" thickBot="1" x14ac:dyDescent="0.3">
      <c r="A2086" s="222"/>
      <c r="B2086" s="225"/>
      <c r="C2086" s="32"/>
      <c r="D2086" s="32"/>
      <c r="E2086" s="33"/>
      <c r="F2086" s="43" t="s">
        <v>572</v>
      </c>
      <c r="G2086" s="31" t="str">
        <f t="shared" si="34"/>
        <v/>
      </c>
      <c r="H2086" s="35"/>
      <c r="I2086" s="31"/>
      <c r="J2086" s="156">
        <v>0</v>
      </c>
    </row>
    <row r="2087" spans="1:10" ht="39" hidden="1" thickBot="1" x14ac:dyDescent="0.3">
      <c r="A2087" s="222"/>
      <c r="B2087" s="225"/>
      <c r="C2087" s="36" t="s">
        <v>710</v>
      </c>
      <c r="D2087" s="47" t="s">
        <v>94</v>
      </c>
      <c r="E2087" s="37">
        <v>1.0210999999999999</v>
      </c>
      <c r="F2087" s="34" t="s">
        <v>572</v>
      </c>
      <c r="G2087" s="34" t="str">
        <f t="shared" si="34"/>
        <v/>
      </c>
      <c r="H2087" s="39">
        <f>SUM(G2087:G2089)</f>
        <v>0.73944959999999993</v>
      </c>
      <c r="I2087" s="40"/>
      <c r="J2087" s="156">
        <v>0</v>
      </c>
    </row>
    <row r="2088" spans="1:10" ht="26.25" hidden="1" thickBot="1" x14ac:dyDescent="0.3">
      <c r="A2088" s="222"/>
      <c r="B2088" s="225"/>
      <c r="C2088" s="36" t="s">
        <v>110</v>
      </c>
      <c r="D2088" s="47" t="s">
        <v>12</v>
      </c>
      <c r="E2088" s="37">
        <f>0.064*0.3</f>
        <v>1.9199999999999998E-2</v>
      </c>
      <c r="F2088" s="31">
        <v>16.891000000000002</v>
      </c>
      <c r="G2088" s="34">
        <f t="shared" si="34"/>
        <v>0.32430720000000002</v>
      </c>
      <c r="H2088" s="35"/>
      <c r="I2088" s="31"/>
      <c r="J2088" s="156">
        <v>0</v>
      </c>
    </row>
    <row r="2089" spans="1:10" ht="15.75" hidden="1" thickBot="1" x14ac:dyDescent="0.3">
      <c r="A2089" s="222"/>
      <c r="B2089" s="225"/>
      <c r="C2089" s="36" t="s">
        <v>39</v>
      </c>
      <c r="D2089" s="47" t="s">
        <v>12</v>
      </c>
      <c r="E2089" s="37">
        <f>0.064*0.3</f>
        <v>1.9199999999999998E-2</v>
      </c>
      <c r="F2089" s="31">
        <v>21.622</v>
      </c>
      <c r="G2089" s="34">
        <f t="shared" si="34"/>
        <v>0.41514239999999997</v>
      </c>
      <c r="H2089" s="35"/>
      <c r="I2089" s="31"/>
      <c r="J2089" s="156">
        <v>0</v>
      </c>
    </row>
    <row r="2090" spans="1:10" ht="15.75" hidden="1" thickBot="1" x14ac:dyDescent="0.3">
      <c r="A2090" s="222"/>
      <c r="B2090" s="225"/>
      <c r="C2090" s="36"/>
      <c r="D2090" s="47"/>
      <c r="E2090" s="37"/>
      <c r="F2090" s="34" t="s">
        <v>572</v>
      </c>
      <c r="G2090" s="34" t="str">
        <f t="shared" si="34"/>
        <v/>
      </c>
      <c r="H2090" s="35"/>
      <c r="I2090" s="31"/>
      <c r="J2090" s="156">
        <v>0</v>
      </c>
    </row>
    <row r="2091" spans="1:10" ht="39" hidden="1" thickBot="1" x14ac:dyDescent="0.3">
      <c r="A2091" s="222"/>
      <c r="B2091" s="225"/>
      <c r="C2091" s="52" t="s">
        <v>696</v>
      </c>
      <c r="D2091" s="47"/>
      <c r="E2091" s="37"/>
      <c r="F2091" s="34" t="s">
        <v>572</v>
      </c>
      <c r="G2091" s="34" t="str">
        <f t="shared" si="34"/>
        <v/>
      </c>
      <c r="H2091" s="35"/>
      <c r="I2091" s="31"/>
      <c r="J2091" s="156">
        <v>0</v>
      </c>
    </row>
    <row r="2092" spans="1:10" ht="15.75" hidden="1" thickBot="1" x14ac:dyDescent="0.3">
      <c r="A2092" s="223"/>
      <c r="B2092" s="226"/>
      <c r="C2092" s="36"/>
      <c r="D2092" s="36"/>
      <c r="E2092" s="37"/>
      <c r="F2092" s="31" t="s">
        <v>572</v>
      </c>
      <c r="G2092" s="31" t="str">
        <f t="shared" si="34"/>
        <v/>
      </c>
      <c r="H2092" s="35"/>
      <c r="I2092" s="31"/>
      <c r="J2092" s="156">
        <v>0</v>
      </c>
    </row>
    <row r="2093" spans="1:10" ht="15.75" hidden="1" thickBot="1" x14ac:dyDescent="0.3">
      <c r="A2093" s="221" t="s">
        <v>711</v>
      </c>
      <c r="B2093" s="224" t="str">
        <f>INDEX(Orçamentária!A:B,MATCH(Composições!A2093,Orçamentária!A:A,0),2)</f>
        <v>Isolamento elastomérico para tubulações de ferro de 1 1/2"</v>
      </c>
      <c r="C2093" s="41"/>
      <c r="D2093" s="26" t="str">
        <f>TRIM(INDEX(Orçamentária!C:C,MATCH(Composições!A2093,Orçamentária!A:A,0),1))</f>
        <v>m</v>
      </c>
      <c r="E2093" s="27"/>
      <c r="F2093" s="42" t="s">
        <v>572</v>
      </c>
      <c r="G2093" s="28" t="str">
        <f t="shared" si="34"/>
        <v/>
      </c>
      <c r="H2093" s="29"/>
      <c r="I2093" s="30"/>
      <c r="J2093" s="156">
        <v>0</v>
      </c>
    </row>
    <row r="2094" spans="1:10" ht="15.75" hidden="1" thickBot="1" x14ac:dyDescent="0.3">
      <c r="A2094" s="222"/>
      <c r="B2094" s="225"/>
      <c r="C2094" s="32"/>
      <c r="D2094" s="32"/>
      <c r="E2094" s="33"/>
      <c r="F2094" s="43" t="s">
        <v>572</v>
      </c>
      <c r="G2094" s="31" t="str">
        <f t="shared" si="34"/>
        <v/>
      </c>
      <c r="H2094" s="35"/>
      <c r="I2094" s="31"/>
      <c r="J2094" s="156">
        <v>0</v>
      </c>
    </row>
    <row r="2095" spans="1:10" ht="39" hidden="1" thickBot="1" x14ac:dyDescent="0.3">
      <c r="A2095" s="222"/>
      <c r="B2095" s="225"/>
      <c r="C2095" s="36" t="s">
        <v>712</v>
      </c>
      <c r="D2095" s="47" t="s">
        <v>94</v>
      </c>
      <c r="E2095" s="37">
        <v>1.0210999999999999</v>
      </c>
      <c r="F2095" s="34" t="s">
        <v>572</v>
      </c>
      <c r="G2095" s="34" t="str">
        <f t="shared" si="34"/>
        <v/>
      </c>
      <c r="H2095" s="39">
        <f>SUM(G2095:G2097)</f>
        <v>0.73944959999999993</v>
      </c>
      <c r="I2095" s="40"/>
      <c r="J2095" s="156">
        <v>0</v>
      </c>
    </row>
    <row r="2096" spans="1:10" ht="26.25" hidden="1" thickBot="1" x14ac:dyDescent="0.3">
      <c r="A2096" s="222"/>
      <c r="B2096" s="225"/>
      <c r="C2096" s="36" t="s">
        <v>110</v>
      </c>
      <c r="D2096" s="47" t="s">
        <v>12</v>
      </c>
      <c r="E2096" s="37">
        <f>0.064*0.3</f>
        <v>1.9199999999999998E-2</v>
      </c>
      <c r="F2096" s="31">
        <v>16.891000000000002</v>
      </c>
      <c r="G2096" s="34">
        <f t="shared" si="34"/>
        <v>0.32430720000000002</v>
      </c>
      <c r="H2096" s="35"/>
      <c r="I2096" s="31"/>
      <c r="J2096" s="156">
        <v>0</v>
      </c>
    </row>
    <row r="2097" spans="1:10" ht="15.75" hidden="1" thickBot="1" x14ac:dyDescent="0.3">
      <c r="A2097" s="222"/>
      <c r="B2097" s="225"/>
      <c r="C2097" s="36" t="s">
        <v>39</v>
      </c>
      <c r="D2097" s="47" t="s">
        <v>12</v>
      </c>
      <c r="E2097" s="37">
        <f>0.064*0.3</f>
        <v>1.9199999999999998E-2</v>
      </c>
      <c r="F2097" s="31">
        <v>21.622</v>
      </c>
      <c r="G2097" s="34">
        <f t="shared" si="34"/>
        <v>0.41514239999999997</v>
      </c>
      <c r="H2097" s="35"/>
      <c r="I2097" s="31"/>
      <c r="J2097" s="156">
        <v>0</v>
      </c>
    </row>
    <row r="2098" spans="1:10" ht="15.75" hidden="1" thickBot="1" x14ac:dyDescent="0.3">
      <c r="A2098" s="222"/>
      <c r="B2098" s="225"/>
      <c r="C2098" s="36"/>
      <c r="D2098" s="47"/>
      <c r="E2098" s="37"/>
      <c r="F2098" s="34" t="s">
        <v>572</v>
      </c>
      <c r="G2098" s="34" t="str">
        <f t="shared" si="34"/>
        <v/>
      </c>
      <c r="H2098" s="35"/>
      <c r="I2098" s="31"/>
      <c r="J2098" s="156">
        <v>0</v>
      </c>
    </row>
    <row r="2099" spans="1:10" ht="39" hidden="1" thickBot="1" x14ac:dyDescent="0.3">
      <c r="A2099" s="222"/>
      <c r="B2099" s="225"/>
      <c r="C2099" s="52" t="s">
        <v>696</v>
      </c>
      <c r="D2099" s="47"/>
      <c r="E2099" s="37"/>
      <c r="F2099" s="34" t="s">
        <v>572</v>
      </c>
      <c r="G2099" s="34" t="str">
        <f t="shared" si="34"/>
        <v/>
      </c>
      <c r="H2099" s="35"/>
      <c r="I2099" s="31"/>
      <c r="J2099" s="156">
        <v>0</v>
      </c>
    </row>
    <row r="2100" spans="1:10" ht="15.75" hidden="1" thickBot="1" x14ac:dyDescent="0.3">
      <c r="A2100" s="223"/>
      <c r="B2100" s="226"/>
      <c r="C2100" s="36"/>
      <c r="D2100" s="36"/>
      <c r="E2100" s="37"/>
      <c r="F2100" s="31" t="s">
        <v>572</v>
      </c>
      <c r="G2100" s="31" t="str">
        <f t="shared" si="34"/>
        <v/>
      </c>
      <c r="H2100" s="35"/>
      <c r="I2100" s="31"/>
      <c r="J2100" s="156">
        <v>0</v>
      </c>
    </row>
    <row r="2101" spans="1:10" ht="15.75" hidden="1" thickBot="1" x14ac:dyDescent="0.3">
      <c r="A2101" s="221" t="s">
        <v>713</v>
      </c>
      <c r="B2101" s="224" t="str">
        <f>INDEX(Orçamentária!A:B,MATCH(Composições!A2101,Orçamentária!A:A,0),2)</f>
        <v>Isolamento elastomérico para tubulações de ferro de 1 1/4"</v>
      </c>
      <c r="C2101" s="41"/>
      <c r="D2101" s="26" t="str">
        <f>TRIM(INDEX(Orçamentária!C:C,MATCH(Composições!A2101,Orçamentária!A:A,0),1))</f>
        <v>m</v>
      </c>
      <c r="E2101" s="27"/>
      <c r="F2101" s="42" t="s">
        <v>572</v>
      </c>
      <c r="G2101" s="28" t="str">
        <f t="shared" si="34"/>
        <v/>
      </c>
      <c r="H2101" s="29"/>
      <c r="I2101" s="30"/>
      <c r="J2101" s="156">
        <v>0</v>
      </c>
    </row>
    <row r="2102" spans="1:10" ht="15.75" hidden="1" thickBot="1" x14ac:dyDescent="0.3">
      <c r="A2102" s="222"/>
      <c r="B2102" s="225"/>
      <c r="C2102" s="32"/>
      <c r="D2102" s="32"/>
      <c r="E2102" s="33"/>
      <c r="F2102" s="43" t="s">
        <v>572</v>
      </c>
      <c r="G2102" s="31" t="str">
        <f t="shared" si="34"/>
        <v/>
      </c>
      <c r="H2102" s="35"/>
      <c r="I2102" s="31"/>
      <c r="J2102" s="156">
        <v>0</v>
      </c>
    </row>
    <row r="2103" spans="1:10" ht="39" hidden="1" thickBot="1" x14ac:dyDescent="0.3">
      <c r="A2103" s="222"/>
      <c r="B2103" s="225"/>
      <c r="C2103" s="36" t="s">
        <v>714</v>
      </c>
      <c r="D2103" s="47" t="s">
        <v>94</v>
      </c>
      <c r="E2103" s="37">
        <v>1.0210999999999999</v>
      </c>
      <c r="F2103" s="34" t="s">
        <v>572</v>
      </c>
      <c r="G2103" s="34" t="str">
        <f t="shared" si="34"/>
        <v/>
      </c>
      <c r="H2103" s="39">
        <f>SUM(G2103:G2105)</f>
        <v>0.73944959999999993</v>
      </c>
      <c r="I2103" s="40"/>
      <c r="J2103" s="156">
        <v>0</v>
      </c>
    </row>
    <row r="2104" spans="1:10" ht="26.25" hidden="1" thickBot="1" x14ac:dyDescent="0.3">
      <c r="A2104" s="222"/>
      <c r="B2104" s="225"/>
      <c r="C2104" s="36" t="s">
        <v>110</v>
      </c>
      <c r="D2104" s="47" t="s">
        <v>12</v>
      </c>
      <c r="E2104" s="37">
        <f>0.064*0.3</f>
        <v>1.9199999999999998E-2</v>
      </c>
      <c r="F2104" s="31">
        <v>16.891000000000002</v>
      </c>
      <c r="G2104" s="34">
        <f t="shared" si="34"/>
        <v>0.32430720000000002</v>
      </c>
      <c r="H2104" s="35"/>
      <c r="I2104" s="31"/>
      <c r="J2104" s="156">
        <v>0</v>
      </c>
    </row>
    <row r="2105" spans="1:10" ht="15.75" hidden="1" thickBot="1" x14ac:dyDescent="0.3">
      <c r="A2105" s="222"/>
      <c r="B2105" s="225"/>
      <c r="C2105" s="36" t="s">
        <v>39</v>
      </c>
      <c r="D2105" s="47" t="s">
        <v>12</v>
      </c>
      <c r="E2105" s="37">
        <f>0.064*0.3</f>
        <v>1.9199999999999998E-2</v>
      </c>
      <c r="F2105" s="31">
        <v>21.622</v>
      </c>
      <c r="G2105" s="34">
        <f t="shared" si="34"/>
        <v>0.41514239999999997</v>
      </c>
      <c r="H2105" s="35"/>
      <c r="I2105" s="31"/>
      <c r="J2105" s="156">
        <v>0</v>
      </c>
    </row>
    <row r="2106" spans="1:10" ht="15.75" hidden="1" thickBot="1" x14ac:dyDescent="0.3">
      <c r="A2106" s="222"/>
      <c r="B2106" s="225"/>
      <c r="C2106" s="36"/>
      <c r="D2106" s="47"/>
      <c r="E2106" s="37"/>
      <c r="F2106" s="34" t="s">
        <v>572</v>
      </c>
      <c r="G2106" s="34" t="str">
        <f t="shared" si="34"/>
        <v/>
      </c>
      <c r="H2106" s="35"/>
      <c r="I2106" s="31"/>
      <c r="J2106" s="156">
        <v>0</v>
      </c>
    </row>
    <row r="2107" spans="1:10" ht="39" hidden="1" thickBot="1" x14ac:dyDescent="0.3">
      <c r="A2107" s="222"/>
      <c r="B2107" s="225"/>
      <c r="C2107" s="52" t="s">
        <v>696</v>
      </c>
      <c r="D2107" s="47"/>
      <c r="E2107" s="37"/>
      <c r="F2107" s="34" t="s">
        <v>572</v>
      </c>
      <c r="G2107" s="34" t="str">
        <f t="shared" si="34"/>
        <v/>
      </c>
      <c r="H2107" s="35"/>
      <c r="I2107" s="31"/>
      <c r="J2107" s="156">
        <v>0</v>
      </c>
    </row>
    <row r="2108" spans="1:10" ht="15.75" hidden="1" thickBot="1" x14ac:dyDescent="0.3">
      <c r="A2108" s="223"/>
      <c r="B2108" s="226"/>
      <c r="C2108" s="36"/>
      <c r="D2108" s="36"/>
      <c r="E2108" s="37"/>
      <c r="F2108" s="31" t="s">
        <v>572</v>
      </c>
      <c r="G2108" s="31" t="str">
        <f t="shared" si="34"/>
        <v/>
      </c>
      <c r="H2108" s="35"/>
      <c r="I2108" s="31"/>
      <c r="J2108" s="156">
        <v>0</v>
      </c>
    </row>
    <row r="2109" spans="1:10" ht="15.75" hidden="1" thickBot="1" x14ac:dyDescent="0.3">
      <c r="A2109" s="221" t="s">
        <v>715</v>
      </c>
      <c r="B2109" s="224" t="str">
        <f>INDEX(Orçamentária!A:B,MATCH(Composições!A2109,Orçamentária!A:A,0),2)</f>
        <v>Isolamento elastomérico para tubulações de ferro de 1"</v>
      </c>
      <c r="C2109" s="41"/>
      <c r="D2109" s="26" t="str">
        <f>TRIM(INDEX(Orçamentária!C:C,MATCH(Composições!A2109,Orçamentária!A:A,0),1))</f>
        <v>m</v>
      </c>
      <c r="E2109" s="27"/>
      <c r="F2109" s="42" t="s">
        <v>572</v>
      </c>
      <c r="G2109" s="28" t="str">
        <f t="shared" si="34"/>
        <v/>
      </c>
      <c r="H2109" s="29"/>
      <c r="I2109" s="30"/>
      <c r="J2109" s="156">
        <v>0</v>
      </c>
    </row>
    <row r="2110" spans="1:10" ht="15.75" hidden="1" thickBot="1" x14ac:dyDescent="0.3">
      <c r="A2110" s="222"/>
      <c r="B2110" s="225"/>
      <c r="C2110" s="32"/>
      <c r="D2110" s="32"/>
      <c r="E2110" s="33"/>
      <c r="F2110" s="43" t="s">
        <v>572</v>
      </c>
      <c r="G2110" s="31" t="str">
        <f t="shared" si="34"/>
        <v/>
      </c>
      <c r="H2110" s="35"/>
      <c r="I2110" s="31"/>
      <c r="J2110" s="156">
        <v>0</v>
      </c>
    </row>
    <row r="2111" spans="1:10" ht="39" hidden="1" thickBot="1" x14ac:dyDescent="0.3">
      <c r="A2111" s="222"/>
      <c r="B2111" s="225"/>
      <c r="C2111" s="36" t="s">
        <v>716</v>
      </c>
      <c r="D2111" s="47" t="s">
        <v>94</v>
      </c>
      <c r="E2111" s="37">
        <v>1.0210999999999999</v>
      </c>
      <c r="F2111" s="34" t="s">
        <v>572</v>
      </c>
      <c r="G2111" s="34" t="str">
        <f t="shared" si="34"/>
        <v/>
      </c>
      <c r="H2111" s="39">
        <f>SUM(G2111:G2113)</f>
        <v>0.73944959999999993</v>
      </c>
      <c r="I2111" s="40"/>
      <c r="J2111" s="156">
        <v>0</v>
      </c>
    </row>
    <row r="2112" spans="1:10" ht="26.25" hidden="1" thickBot="1" x14ac:dyDescent="0.3">
      <c r="A2112" s="222"/>
      <c r="B2112" s="225"/>
      <c r="C2112" s="36" t="s">
        <v>110</v>
      </c>
      <c r="D2112" s="47" t="s">
        <v>12</v>
      </c>
      <c r="E2112" s="37">
        <f>0.064*0.3</f>
        <v>1.9199999999999998E-2</v>
      </c>
      <c r="F2112" s="31">
        <v>16.891000000000002</v>
      </c>
      <c r="G2112" s="34">
        <f t="shared" si="34"/>
        <v>0.32430720000000002</v>
      </c>
      <c r="H2112" s="35"/>
      <c r="I2112" s="31"/>
      <c r="J2112" s="156">
        <v>0</v>
      </c>
    </row>
    <row r="2113" spans="1:10" ht="15.75" hidden="1" thickBot="1" x14ac:dyDescent="0.3">
      <c r="A2113" s="222"/>
      <c r="B2113" s="225"/>
      <c r="C2113" s="36" t="s">
        <v>39</v>
      </c>
      <c r="D2113" s="47" t="s">
        <v>12</v>
      </c>
      <c r="E2113" s="37">
        <f>0.064*0.3</f>
        <v>1.9199999999999998E-2</v>
      </c>
      <c r="F2113" s="31">
        <v>21.622</v>
      </c>
      <c r="G2113" s="34">
        <f t="shared" si="34"/>
        <v>0.41514239999999997</v>
      </c>
      <c r="H2113" s="35"/>
      <c r="I2113" s="31"/>
      <c r="J2113" s="156">
        <v>0</v>
      </c>
    </row>
    <row r="2114" spans="1:10" ht="15.75" hidden="1" thickBot="1" x14ac:dyDescent="0.3">
      <c r="A2114" s="222"/>
      <c r="B2114" s="225"/>
      <c r="C2114" s="36"/>
      <c r="D2114" s="47"/>
      <c r="E2114" s="37"/>
      <c r="F2114" s="34" t="s">
        <v>572</v>
      </c>
      <c r="G2114" s="34" t="str">
        <f t="shared" si="34"/>
        <v/>
      </c>
      <c r="H2114" s="35"/>
      <c r="I2114" s="31"/>
      <c r="J2114" s="156">
        <v>0</v>
      </c>
    </row>
    <row r="2115" spans="1:10" ht="39" hidden="1" thickBot="1" x14ac:dyDescent="0.3">
      <c r="A2115" s="222"/>
      <c r="B2115" s="225"/>
      <c r="C2115" s="52" t="s">
        <v>696</v>
      </c>
      <c r="D2115" s="47"/>
      <c r="E2115" s="37"/>
      <c r="F2115" s="34" t="s">
        <v>572</v>
      </c>
      <c r="G2115" s="34" t="str">
        <f t="shared" si="34"/>
        <v/>
      </c>
      <c r="H2115" s="35"/>
      <c r="I2115" s="31"/>
      <c r="J2115" s="156">
        <v>0</v>
      </c>
    </row>
    <row r="2116" spans="1:10" ht="15.75" hidden="1" thickBot="1" x14ac:dyDescent="0.3">
      <c r="A2116" s="223"/>
      <c r="B2116" s="226"/>
      <c r="C2116" s="36"/>
      <c r="D2116" s="36"/>
      <c r="E2116" s="37"/>
      <c r="F2116" s="31" t="s">
        <v>572</v>
      </c>
      <c r="G2116" s="31" t="str">
        <f t="shared" si="34"/>
        <v/>
      </c>
      <c r="H2116" s="35"/>
      <c r="I2116" s="31"/>
      <c r="J2116" s="156">
        <v>0</v>
      </c>
    </row>
    <row r="2117" spans="1:10" ht="15.75" thickBot="1" x14ac:dyDescent="0.3">
      <c r="A2117" s="221" t="s">
        <v>717</v>
      </c>
      <c r="B2117" s="224" t="str">
        <f>INDEX(Orçamentária!A:B,MATCH(Composições!A2117,Orçamentária!A:A,0),2)</f>
        <v>Proteção mecânica em alumínio</v>
      </c>
      <c r="C2117" s="41"/>
      <c r="D2117" s="26" t="str">
        <f>TRIM(INDEX(Orçamentária!C:C,MATCH(Composições!A2117,Orçamentária!A:A,0),1))</f>
        <v>m2</v>
      </c>
      <c r="E2117" s="27"/>
      <c r="F2117" s="42" t="s">
        <v>572</v>
      </c>
      <c r="G2117" s="28" t="str">
        <f t="shared" si="34"/>
        <v/>
      </c>
      <c r="H2117" s="29"/>
      <c r="I2117" s="30"/>
      <c r="J2117" s="156">
        <v>123</v>
      </c>
    </row>
    <row r="2118" spans="1:10" x14ac:dyDescent="0.25">
      <c r="A2118" s="222"/>
      <c r="B2118" s="225"/>
      <c r="C2118" s="32"/>
      <c r="D2118" s="32"/>
      <c r="E2118" s="33"/>
      <c r="F2118" s="43" t="s">
        <v>572</v>
      </c>
      <c r="G2118" s="31" t="str">
        <f t="shared" si="34"/>
        <v/>
      </c>
      <c r="H2118" s="35"/>
      <c r="I2118" s="31"/>
      <c r="J2118" s="156">
        <v>123</v>
      </c>
    </row>
    <row r="2119" spans="1:10" ht="25.5" x14ac:dyDescent="0.25">
      <c r="A2119" s="222"/>
      <c r="B2119" s="225"/>
      <c r="C2119" s="36" t="s">
        <v>110</v>
      </c>
      <c r="D2119" s="47" t="s">
        <v>12</v>
      </c>
      <c r="E2119" s="37">
        <v>0.2</v>
      </c>
      <c r="F2119" s="31">
        <v>16.891000000000002</v>
      </c>
      <c r="G2119" s="34">
        <f t="shared" si="34"/>
        <v>3.3782000000000005</v>
      </c>
      <c r="H2119" s="39">
        <f>SUM(G2119:G2121)</f>
        <v>39.759100000000004</v>
      </c>
      <c r="I2119" s="40"/>
      <c r="J2119" s="156">
        <v>123</v>
      </c>
    </row>
    <row r="2120" spans="1:10" x14ac:dyDescent="0.25">
      <c r="A2120" s="222"/>
      <c r="B2120" s="225"/>
      <c r="C2120" s="36" t="s">
        <v>39</v>
      </c>
      <c r="D2120" s="47" t="s">
        <v>12</v>
      </c>
      <c r="E2120" s="37">
        <v>0.2</v>
      </c>
      <c r="F2120" s="31">
        <v>21.622</v>
      </c>
      <c r="G2120" s="34">
        <f t="shared" si="34"/>
        <v>4.3243999999999998</v>
      </c>
      <c r="H2120" s="35"/>
      <c r="I2120" s="31"/>
      <c r="J2120" s="156">
        <v>123</v>
      </c>
    </row>
    <row r="2121" spans="1:10" x14ac:dyDescent="0.25">
      <c r="A2121" s="222"/>
      <c r="B2121" s="225"/>
      <c r="C2121" s="36" t="s">
        <v>718</v>
      </c>
      <c r="D2121" s="47" t="s">
        <v>96</v>
      </c>
      <c r="E2121" s="37">
        <v>1.05</v>
      </c>
      <c r="F2121" s="34">
        <v>30.53</v>
      </c>
      <c r="G2121" s="34">
        <f t="shared" si="34"/>
        <v>32.0565</v>
      </c>
      <c r="H2121" s="35"/>
      <c r="I2121" s="31"/>
      <c r="J2121" s="156">
        <v>123</v>
      </c>
    </row>
    <row r="2122" spans="1:10" ht="15.75" thickBot="1" x14ac:dyDescent="0.3">
      <c r="A2122" s="223"/>
      <c r="B2122" s="226"/>
      <c r="C2122" s="36"/>
      <c r="D2122" s="36"/>
      <c r="E2122" s="37"/>
      <c r="F2122" s="31" t="s">
        <v>572</v>
      </c>
      <c r="G2122" s="31" t="str">
        <f t="shared" si="34"/>
        <v/>
      </c>
      <c r="H2122" s="35"/>
      <c r="I2122" s="31"/>
      <c r="J2122" s="156">
        <v>123</v>
      </c>
    </row>
    <row r="2123" spans="1:10" ht="15.75" hidden="1" thickBot="1" x14ac:dyDescent="0.3">
      <c r="A2123" s="221" t="s">
        <v>719</v>
      </c>
      <c r="B2123" s="224" t="str">
        <f>INDEX(Orçamentária!A:B,MATCH(Composições!A2123,Orçamentária!A:A,0),2)</f>
        <v>Tubo de aço-carbono galvanizado 1 1/2"</v>
      </c>
      <c r="C2123" s="41"/>
      <c r="D2123" s="26" t="str">
        <f>TRIM(INDEX(Orçamentária!C:C,MATCH(Composições!A2123,Orçamentária!A:A,0),1))</f>
        <v>m</v>
      </c>
      <c r="E2123" s="27"/>
      <c r="F2123" s="42" t="s">
        <v>572</v>
      </c>
      <c r="G2123" s="28" t="str">
        <f t="shared" si="34"/>
        <v/>
      </c>
      <c r="H2123" s="29"/>
      <c r="I2123" s="30"/>
      <c r="J2123" s="156">
        <v>0</v>
      </c>
    </row>
    <row r="2124" spans="1:10" ht="15.75" hidden="1" thickBot="1" x14ac:dyDescent="0.3">
      <c r="A2124" s="222"/>
      <c r="B2124" s="225"/>
      <c r="C2124" s="32"/>
      <c r="D2124" s="32"/>
      <c r="E2124" s="33"/>
      <c r="F2124" s="43" t="s">
        <v>572</v>
      </c>
      <c r="G2124" s="31" t="str">
        <f t="shared" si="34"/>
        <v/>
      </c>
      <c r="H2124" s="35"/>
      <c r="I2124" s="31"/>
      <c r="J2124" s="156">
        <v>0</v>
      </c>
    </row>
    <row r="2125" spans="1:10" ht="15.75" hidden="1" thickBot="1" x14ac:dyDescent="0.3">
      <c r="A2125" s="222"/>
      <c r="B2125" s="225"/>
      <c r="C2125" s="36" t="s">
        <v>39</v>
      </c>
      <c r="D2125" s="47" t="s">
        <v>12</v>
      </c>
      <c r="E2125" s="37">
        <v>0.29199999999999998</v>
      </c>
      <c r="F2125" s="31">
        <v>21.622</v>
      </c>
      <c r="G2125" s="31">
        <f t="shared" si="34"/>
        <v>6.3136239999999999</v>
      </c>
      <c r="H2125" s="39">
        <f>SUM(G2125:G2127)</f>
        <v>82.787179999999992</v>
      </c>
      <c r="I2125" s="40"/>
      <c r="J2125" s="156">
        <v>0</v>
      </c>
    </row>
    <row r="2126" spans="1:10" ht="26.25" hidden="1" thickBot="1" x14ac:dyDescent="0.3">
      <c r="A2126" s="222"/>
      <c r="B2126" s="225"/>
      <c r="C2126" s="36" t="s">
        <v>110</v>
      </c>
      <c r="D2126" s="47" t="s">
        <v>12</v>
      </c>
      <c r="E2126" s="37">
        <v>0.29199999999999998</v>
      </c>
      <c r="F2126" s="31">
        <v>16.891000000000002</v>
      </c>
      <c r="G2126" s="31">
        <f t="shared" si="34"/>
        <v>4.9321720000000004</v>
      </c>
      <c r="H2126" s="35"/>
      <c r="I2126" s="31"/>
      <c r="J2126" s="156">
        <v>0</v>
      </c>
    </row>
    <row r="2127" spans="1:10" ht="26.25" hidden="1" thickBot="1" x14ac:dyDescent="0.3">
      <c r="A2127" s="222"/>
      <c r="B2127" s="225"/>
      <c r="C2127" s="36" t="s">
        <v>720</v>
      </c>
      <c r="D2127" s="47" t="s">
        <v>94</v>
      </c>
      <c r="E2127" s="37">
        <v>1.0389999999999999</v>
      </c>
      <c r="F2127" s="34">
        <v>68.855999999999995</v>
      </c>
      <c r="G2127" s="31">
        <f t="shared" si="34"/>
        <v>71.541383999999994</v>
      </c>
      <c r="H2127" s="35"/>
      <c r="I2127" s="31"/>
      <c r="J2127" s="156">
        <v>0</v>
      </c>
    </row>
    <row r="2128" spans="1:10" ht="15.75" hidden="1" thickBot="1" x14ac:dyDescent="0.3">
      <c r="A2128" s="223"/>
      <c r="B2128" s="226"/>
      <c r="C2128" s="36"/>
      <c r="D2128" s="36"/>
      <c r="E2128" s="37"/>
      <c r="F2128" s="31" t="s">
        <v>572</v>
      </c>
      <c r="G2128" s="31" t="str">
        <f t="shared" si="34"/>
        <v/>
      </c>
      <c r="H2128" s="35"/>
      <c r="I2128" s="31"/>
      <c r="J2128" s="156">
        <v>0</v>
      </c>
    </row>
    <row r="2129" spans="1:10" ht="15.75" hidden="1" thickBot="1" x14ac:dyDescent="0.3">
      <c r="A2129" s="221" t="s">
        <v>721</v>
      </c>
      <c r="B2129" s="224" t="str">
        <f>INDEX(Orçamentária!A:B,MATCH(Composições!A2129,Orçamentária!A:A,0),2)</f>
        <v>Tubo de aço-carbono galvanizado 1 1/4"</v>
      </c>
      <c r="C2129" s="41"/>
      <c r="D2129" s="26" t="str">
        <f>TRIM(INDEX(Orçamentária!C:C,MATCH(Composições!A2129,Orçamentária!A:A,0),1))</f>
        <v>m</v>
      </c>
      <c r="E2129" s="27"/>
      <c r="F2129" s="42" t="s">
        <v>572</v>
      </c>
      <c r="G2129" s="28" t="str">
        <f t="shared" si="34"/>
        <v/>
      </c>
      <c r="H2129" s="29"/>
      <c r="I2129" s="30"/>
      <c r="J2129" s="156">
        <v>0</v>
      </c>
    </row>
    <row r="2130" spans="1:10" ht="15.75" hidden="1" thickBot="1" x14ac:dyDescent="0.3">
      <c r="A2130" s="222"/>
      <c r="B2130" s="225"/>
      <c r="C2130" s="32"/>
      <c r="D2130" s="32"/>
      <c r="E2130" s="33"/>
      <c r="F2130" s="43" t="s">
        <v>572</v>
      </c>
      <c r="G2130" s="31" t="str">
        <f t="shared" si="34"/>
        <v/>
      </c>
      <c r="H2130" s="35"/>
      <c r="I2130" s="31"/>
      <c r="J2130" s="156">
        <v>0</v>
      </c>
    </row>
    <row r="2131" spans="1:10" ht="15.75" hidden="1" thickBot="1" x14ac:dyDescent="0.3">
      <c r="A2131" s="222"/>
      <c r="B2131" s="225"/>
      <c r="C2131" s="36" t="s">
        <v>39</v>
      </c>
      <c r="D2131" s="47" t="s">
        <v>12</v>
      </c>
      <c r="E2131" s="37">
        <v>0.27500000000000002</v>
      </c>
      <c r="F2131" s="31">
        <v>21.622</v>
      </c>
      <c r="G2131" s="31">
        <f t="shared" si="34"/>
        <v>5.9460500000000005</v>
      </c>
      <c r="H2131" s="39">
        <f>SUM(G2131:G2133)</f>
        <v>76.239770499999992</v>
      </c>
      <c r="I2131" s="40"/>
      <c r="J2131" s="156">
        <v>0</v>
      </c>
    </row>
    <row r="2132" spans="1:10" ht="26.25" hidden="1" thickBot="1" x14ac:dyDescent="0.3">
      <c r="A2132" s="222"/>
      <c r="B2132" s="225"/>
      <c r="C2132" s="36" t="s">
        <v>110</v>
      </c>
      <c r="D2132" s="47" t="s">
        <v>12</v>
      </c>
      <c r="E2132" s="37">
        <v>0.27500000000000002</v>
      </c>
      <c r="F2132" s="31">
        <v>16.891000000000002</v>
      </c>
      <c r="G2132" s="31">
        <f t="shared" si="34"/>
        <v>4.6450250000000013</v>
      </c>
      <c r="H2132" s="35"/>
      <c r="I2132" s="31"/>
      <c r="J2132" s="156">
        <v>0</v>
      </c>
    </row>
    <row r="2133" spans="1:10" ht="26.25" hidden="1" thickBot="1" x14ac:dyDescent="0.3">
      <c r="A2133" s="222"/>
      <c r="B2133" s="225"/>
      <c r="C2133" s="36" t="s">
        <v>3612</v>
      </c>
      <c r="D2133" s="47" t="s">
        <v>94</v>
      </c>
      <c r="E2133" s="37">
        <v>1.0389999999999999</v>
      </c>
      <c r="F2133" s="31">
        <v>63.1845</v>
      </c>
      <c r="G2133" s="31">
        <f t="shared" ref="G2133:G2196" si="35">IF(ISNUMBER(F2133),E2133*F2133,"")</f>
        <v>65.648695499999988</v>
      </c>
      <c r="H2133" s="35"/>
      <c r="I2133" s="31"/>
      <c r="J2133" s="156">
        <v>0</v>
      </c>
    </row>
    <row r="2134" spans="1:10" ht="15.75" hidden="1" thickBot="1" x14ac:dyDescent="0.3">
      <c r="A2134" s="223"/>
      <c r="B2134" s="226"/>
      <c r="C2134" s="36"/>
      <c r="D2134" s="36"/>
      <c r="E2134" s="37"/>
      <c r="F2134" s="31" t="s">
        <v>572</v>
      </c>
      <c r="G2134" s="31" t="str">
        <f t="shared" si="35"/>
        <v/>
      </c>
      <c r="H2134" s="35"/>
      <c r="I2134" s="31"/>
      <c r="J2134" s="156">
        <v>0</v>
      </c>
    </row>
    <row r="2135" spans="1:10" ht="15.75" hidden="1" thickBot="1" x14ac:dyDescent="0.3">
      <c r="A2135" s="221" t="s">
        <v>722</v>
      </c>
      <c r="B2135" s="224" t="str">
        <f>INDEX(Orçamentária!A:B,MATCH(Composições!A2135,Orçamentária!A:A,0),2)</f>
        <v>Tubo de aço-carbono galvanizado 1"</v>
      </c>
      <c r="C2135" s="41"/>
      <c r="D2135" s="26" t="str">
        <f>TRIM(INDEX(Orçamentária!C:C,MATCH(Composições!A2135,Orçamentária!A:A,0),1))</f>
        <v>m</v>
      </c>
      <c r="E2135" s="27"/>
      <c r="F2135" s="42" t="s">
        <v>572</v>
      </c>
      <c r="G2135" s="28" t="str">
        <f t="shared" si="35"/>
        <v/>
      </c>
      <c r="H2135" s="29"/>
      <c r="I2135" s="30"/>
      <c r="J2135" s="156">
        <v>0</v>
      </c>
    </row>
    <row r="2136" spans="1:10" ht="15.75" hidden="1" thickBot="1" x14ac:dyDescent="0.3">
      <c r="A2136" s="222"/>
      <c r="B2136" s="225"/>
      <c r="C2136" s="32"/>
      <c r="D2136" s="32"/>
      <c r="E2136" s="33"/>
      <c r="F2136" s="43" t="s">
        <v>572</v>
      </c>
      <c r="G2136" s="31" t="str">
        <f t="shared" si="35"/>
        <v/>
      </c>
      <c r="H2136" s="35"/>
      <c r="I2136" s="31"/>
      <c r="J2136" s="156">
        <v>0</v>
      </c>
    </row>
    <row r="2137" spans="1:10" ht="15.75" hidden="1" thickBot="1" x14ac:dyDescent="0.3">
      <c r="A2137" s="222"/>
      <c r="B2137" s="225"/>
      <c r="C2137" s="36" t="s">
        <v>39</v>
      </c>
      <c r="D2137" s="47" t="s">
        <v>12</v>
      </c>
      <c r="E2137" s="37">
        <v>0.29699999999999999</v>
      </c>
      <c r="F2137" s="31">
        <v>21.622</v>
      </c>
      <c r="G2137" s="34">
        <f t="shared" si="35"/>
        <v>6.4217339999999998</v>
      </c>
      <c r="H2137" s="39">
        <f>SUM(G2137:G2139)</f>
        <v>60.425652499999998</v>
      </c>
      <c r="I2137" s="40"/>
      <c r="J2137" s="156">
        <v>0</v>
      </c>
    </row>
    <row r="2138" spans="1:10" ht="26.25" hidden="1" thickBot="1" x14ac:dyDescent="0.3">
      <c r="A2138" s="222"/>
      <c r="B2138" s="225"/>
      <c r="C2138" s="36" t="s">
        <v>110</v>
      </c>
      <c r="D2138" s="47" t="s">
        <v>12</v>
      </c>
      <c r="E2138" s="37">
        <v>0.29699999999999999</v>
      </c>
      <c r="F2138" s="31">
        <v>16.891000000000002</v>
      </c>
      <c r="G2138" s="34">
        <f t="shared" si="35"/>
        <v>5.0166270000000006</v>
      </c>
      <c r="H2138" s="35"/>
      <c r="I2138" s="31"/>
      <c r="J2138" s="156">
        <v>0</v>
      </c>
    </row>
    <row r="2139" spans="1:10" ht="26.25" hidden="1" thickBot="1" x14ac:dyDescent="0.3">
      <c r="A2139" s="222"/>
      <c r="B2139" s="225"/>
      <c r="C2139" s="36" t="s">
        <v>3613</v>
      </c>
      <c r="D2139" s="47" t="s">
        <v>94</v>
      </c>
      <c r="E2139" s="37">
        <v>1.0389999999999999</v>
      </c>
      <c r="F2139" s="31">
        <v>47.148499999999999</v>
      </c>
      <c r="G2139" s="34">
        <f t="shared" si="35"/>
        <v>48.987291499999998</v>
      </c>
      <c r="H2139" s="35"/>
      <c r="I2139" s="31"/>
      <c r="J2139" s="156">
        <v>0</v>
      </c>
    </row>
    <row r="2140" spans="1:10" ht="15.75" hidden="1" thickBot="1" x14ac:dyDescent="0.3">
      <c r="A2140" s="223"/>
      <c r="B2140" s="226"/>
      <c r="C2140" s="36"/>
      <c r="D2140" s="36"/>
      <c r="E2140" s="37"/>
      <c r="F2140" s="31" t="s">
        <v>572</v>
      </c>
      <c r="G2140" s="31" t="str">
        <f t="shared" si="35"/>
        <v/>
      </c>
      <c r="H2140" s="35"/>
      <c r="I2140" s="31"/>
      <c r="J2140" s="156">
        <v>0</v>
      </c>
    </row>
    <row r="2141" spans="1:10" ht="15.75" hidden="1" thickBot="1" x14ac:dyDescent="0.3">
      <c r="A2141" s="221" t="s">
        <v>723</v>
      </c>
      <c r="B2141" s="224" t="str">
        <f>INDEX(Orçamentária!A:B,MATCH(Composições!A2141,Orçamentária!A:A,0),2)</f>
        <v>Tubo de aço-carbono galvanizado 3/4"</v>
      </c>
      <c r="C2141" s="41"/>
      <c r="D2141" s="26" t="str">
        <f>TRIM(INDEX(Orçamentária!C:C,MATCH(Composições!A2141,Orçamentária!A:A,0),1))</f>
        <v>m</v>
      </c>
      <c r="E2141" s="27"/>
      <c r="F2141" s="42" t="s">
        <v>572</v>
      </c>
      <c r="G2141" s="28" t="str">
        <f t="shared" si="35"/>
        <v/>
      </c>
      <c r="H2141" s="29"/>
      <c r="I2141" s="30"/>
      <c r="J2141" s="156">
        <v>0</v>
      </c>
    </row>
    <row r="2142" spans="1:10" ht="15.75" hidden="1" thickBot="1" x14ac:dyDescent="0.3">
      <c r="A2142" s="222"/>
      <c r="B2142" s="225"/>
      <c r="C2142" s="32"/>
      <c r="D2142" s="32"/>
      <c r="E2142" s="33"/>
      <c r="F2142" s="43" t="s">
        <v>572</v>
      </c>
      <c r="G2142" s="31" t="str">
        <f t="shared" si="35"/>
        <v/>
      </c>
      <c r="H2142" s="35"/>
      <c r="I2142" s="31"/>
      <c r="J2142" s="156">
        <v>0</v>
      </c>
    </row>
    <row r="2143" spans="1:10" ht="15.75" hidden="1" thickBot="1" x14ac:dyDescent="0.3">
      <c r="A2143" s="222"/>
      <c r="B2143" s="225"/>
      <c r="C2143" s="36" t="s">
        <v>39</v>
      </c>
      <c r="D2143" s="47" t="s">
        <v>12</v>
      </c>
      <c r="E2143" s="37">
        <v>0.29699999999999999</v>
      </c>
      <c r="F2143" s="31">
        <v>21.622</v>
      </c>
      <c r="G2143" s="31">
        <f t="shared" si="35"/>
        <v>6.4217339999999998</v>
      </c>
      <c r="H2143" s="39">
        <f>SUM(G2143:G2145)</f>
        <v>54.967265999999995</v>
      </c>
      <c r="I2143" s="40"/>
      <c r="J2143" s="156">
        <v>0</v>
      </c>
    </row>
    <row r="2144" spans="1:10" ht="26.25" hidden="1" thickBot="1" x14ac:dyDescent="0.3">
      <c r="A2144" s="222"/>
      <c r="B2144" s="225"/>
      <c r="C2144" s="36" t="s">
        <v>110</v>
      </c>
      <c r="D2144" s="47" t="s">
        <v>12</v>
      </c>
      <c r="E2144" s="37">
        <v>0.29699999999999999</v>
      </c>
      <c r="F2144" s="31">
        <v>16.891000000000002</v>
      </c>
      <c r="G2144" s="31">
        <f t="shared" si="35"/>
        <v>5.0166270000000006</v>
      </c>
      <c r="H2144" s="35"/>
      <c r="I2144" s="31"/>
      <c r="J2144" s="156">
        <v>0</v>
      </c>
    </row>
    <row r="2145" spans="1:10" ht="26.25" hidden="1" thickBot="1" x14ac:dyDescent="0.3">
      <c r="A2145" s="222"/>
      <c r="B2145" s="225"/>
      <c r="C2145" s="36" t="s">
        <v>724</v>
      </c>
      <c r="D2145" s="47" t="s">
        <v>94</v>
      </c>
      <c r="E2145" s="37">
        <v>1.0389999999999999</v>
      </c>
      <c r="F2145" s="34">
        <v>41.894999999999996</v>
      </c>
      <c r="G2145" s="31">
        <f t="shared" si="35"/>
        <v>43.528904999999995</v>
      </c>
      <c r="H2145" s="35"/>
      <c r="I2145" s="31"/>
      <c r="J2145" s="156">
        <v>0</v>
      </c>
    </row>
    <row r="2146" spans="1:10" ht="15.75" hidden="1" thickBot="1" x14ac:dyDescent="0.3">
      <c r="A2146" s="223"/>
      <c r="B2146" s="226"/>
      <c r="C2146" s="36"/>
      <c r="D2146" s="36"/>
      <c r="E2146" s="37"/>
      <c r="F2146" s="31" t="s">
        <v>572</v>
      </c>
      <c r="G2146" s="31" t="str">
        <f t="shared" si="35"/>
        <v/>
      </c>
      <c r="H2146" s="35"/>
      <c r="I2146" s="31"/>
      <c r="J2146" s="156">
        <v>0</v>
      </c>
    </row>
    <row r="2147" spans="1:10" ht="15.75" hidden="1" thickBot="1" x14ac:dyDescent="0.3">
      <c r="A2147" s="221" t="s">
        <v>725</v>
      </c>
      <c r="B2147" s="224" t="str">
        <f>INDEX(Orçamentária!A:B,MATCH(Composições!A2147,Orçamentária!A:A,0),2)</f>
        <v>Tubo de cobre de 1/2"</v>
      </c>
      <c r="C2147" s="41"/>
      <c r="D2147" s="26" t="str">
        <f>TRIM(INDEX(Orçamentária!C:C,MATCH(Composições!A2147,Orçamentária!A:A,0),1))</f>
        <v>m</v>
      </c>
      <c r="E2147" s="27"/>
      <c r="F2147" s="42" t="s">
        <v>572</v>
      </c>
      <c r="G2147" s="28" t="str">
        <f t="shared" si="35"/>
        <v/>
      </c>
      <c r="H2147" s="29"/>
      <c r="I2147" s="30"/>
      <c r="J2147" s="156">
        <v>0</v>
      </c>
    </row>
    <row r="2148" spans="1:10" ht="15.75" hidden="1" thickBot="1" x14ac:dyDescent="0.3">
      <c r="A2148" s="222"/>
      <c r="B2148" s="225"/>
      <c r="C2148" s="32"/>
      <c r="D2148" s="32"/>
      <c r="E2148" s="33"/>
      <c r="F2148" s="43" t="s">
        <v>572</v>
      </c>
      <c r="G2148" s="31" t="str">
        <f t="shared" si="35"/>
        <v/>
      </c>
      <c r="H2148" s="35"/>
      <c r="I2148" s="31"/>
      <c r="J2148" s="156">
        <v>0</v>
      </c>
    </row>
    <row r="2149" spans="1:10" ht="26.25" hidden="1" thickBot="1" x14ac:dyDescent="0.3">
      <c r="A2149" s="222"/>
      <c r="B2149" s="225"/>
      <c r="C2149" s="36" t="s">
        <v>726</v>
      </c>
      <c r="D2149" s="47" t="s">
        <v>94</v>
      </c>
      <c r="E2149" s="37">
        <v>1.0210999999999999</v>
      </c>
      <c r="F2149" s="34">
        <v>34.171499999999995</v>
      </c>
      <c r="G2149" s="34">
        <f t="shared" si="35"/>
        <v>34.892518649999992</v>
      </c>
      <c r="H2149" s="39">
        <f>SUM(G2149:G2151)</f>
        <v>36.537023749999989</v>
      </c>
      <c r="I2149" s="40"/>
      <c r="J2149" s="156">
        <v>0</v>
      </c>
    </row>
    <row r="2150" spans="1:10" ht="26.25" hidden="1" thickBot="1" x14ac:dyDescent="0.3">
      <c r="A2150" s="222"/>
      <c r="B2150" s="225"/>
      <c r="C2150" s="36" t="s">
        <v>110</v>
      </c>
      <c r="D2150" s="47" t="s">
        <v>12</v>
      </c>
      <c r="E2150" s="37">
        <f>0.061*0.7</f>
        <v>4.2699999999999995E-2</v>
      </c>
      <c r="F2150" s="31">
        <v>16.891000000000002</v>
      </c>
      <c r="G2150" s="34">
        <f t="shared" si="35"/>
        <v>0.72124569999999999</v>
      </c>
      <c r="H2150" s="35"/>
      <c r="I2150" s="31"/>
      <c r="J2150" s="156">
        <v>0</v>
      </c>
    </row>
    <row r="2151" spans="1:10" ht="15.75" hidden="1" thickBot="1" x14ac:dyDescent="0.3">
      <c r="A2151" s="222"/>
      <c r="B2151" s="225"/>
      <c r="C2151" s="36" t="s">
        <v>39</v>
      </c>
      <c r="D2151" s="47" t="s">
        <v>12</v>
      </c>
      <c r="E2151" s="37">
        <f>0.061*0.7</f>
        <v>4.2699999999999995E-2</v>
      </c>
      <c r="F2151" s="31">
        <v>21.622</v>
      </c>
      <c r="G2151" s="34">
        <f t="shared" si="35"/>
        <v>0.92325939999999984</v>
      </c>
      <c r="H2151" s="35"/>
      <c r="I2151" s="31"/>
      <c r="J2151" s="156">
        <v>0</v>
      </c>
    </row>
    <row r="2152" spans="1:10" ht="15.75" hidden="1" thickBot="1" x14ac:dyDescent="0.3">
      <c r="A2152" s="222"/>
      <c r="B2152" s="225"/>
      <c r="C2152" s="36"/>
      <c r="D2152" s="47"/>
      <c r="E2152" s="37"/>
      <c r="F2152" s="31" t="s">
        <v>572</v>
      </c>
      <c r="G2152" s="34" t="str">
        <f t="shared" si="35"/>
        <v/>
      </c>
      <c r="H2152" s="35"/>
      <c r="I2152" s="31"/>
      <c r="J2152" s="156">
        <v>0</v>
      </c>
    </row>
    <row r="2153" spans="1:10" ht="39" hidden="1" thickBot="1" x14ac:dyDescent="0.3">
      <c r="A2153" s="222"/>
      <c r="B2153" s="225"/>
      <c r="C2153" s="52" t="s">
        <v>696</v>
      </c>
      <c r="D2153" s="47"/>
      <c r="E2153" s="37"/>
      <c r="F2153" s="31" t="s">
        <v>572</v>
      </c>
      <c r="G2153" s="34" t="str">
        <f t="shared" si="35"/>
        <v/>
      </c>
      <c r="H2153" s="35"/>
      <c r="I2153" s="31"/>
      <c r="J2153" s="156">
        <v>0</v>
      </c>
    </row>
    <row r="2154" spans="1:10" ht="15.75" hidden="1" thickBot="1" x14ac:dyDescent="0.3">
      <c r="A2154" s="223"/>
      <c r="B2154" s="226"/>
      <c r="C2154" s="36"/>
      <c r="D2154" s="36"/>
      <c r="E2154" s="37"/>
      <c r="F2154" s="31" t="s">
        <v>572</v>
      </c>
      <c r="G2154" s="31" t="str">
        <f t="shared" si="35"/>
        <v/>
      </c>
      <c r="H2154" s="35"/>
      <c r="I2154" s="31"/>
      <c r="J2154" s="156">
        <v>0</v>
      </c>
    </row>
    <row r="2155" spans="1:10" ht="15.75" hidden="1" thickBot="1" x14ac:dyDescent="0.3">
      <c r="A2155" s="221" t="s">
        <v>727</v>
      </c>
      <c r="B2155" s="224" t="str">
        <f>INDEX(Orçamentária!A:B,MATCH(Composições!A2155,Orçamentária!A:A,0),2)</f>
        <v>Tubo de cobre de 1/4"</v>
      </c>
      <c r="C2155" s="41"/>
      <c r="D2155" s="26" t="str">
        <f>TRIM(INDEX(Orçamentária!C:C,MATCH(Composições!A2155,Orçamentária!A:A,0),1))</f>
        <v>m</v>
      </c>
      <c r="E2155" s="27"/>
      <c r="F2155" s="42" t="s">
        <v>572</v>
      </c>
      <c r="G2155" s="28" t="str">
        <f t="shared" si="35"/>
        <v/>
      </c>
      <c r="H2155" s="29"/>
      <c r="I2155" s="30"/>
      <c r="J2155" s="156">
        <v>0</v>
      </c>
    </row>
    <row r="2156" spans="1:10" ht="15.75" hidden="1" thickBot="1" x14ac:dyDescent="0.3">
      <c r="A2156" s="222"/>
      <c r="B2156" s="225"/>
      <c r="C2156" s="32"/>
      <c r="D2156" s="32"/>
      <c r="E2156" s="33"/>
      <c r="F2156" s="43" t="s">
        <v>572</v>
      </c>
      <c r="G2156" s="31" t="str">
        <f t="shared" si="35"/>
        <v/>
      </c>
      <c r="H2156" s="35"/>
      <c r="I2156" s="31"/>
      <c r="J2156" s="156">
        <v>0</v>
      </c>
    </row>
    <row r="2157" spans="1:10" ht="26.25" hidden="1" thickBot="1" x14ac:dyDescent="0.3">
      <c r="A2157" s="222"/>
      <c r="B2157" s="225"/>
      <c r="C2157" s="36" t="s">
        <v>728</v>
      </c>
      <c r="D2157" s="47" t="s">
        <v>94</v>
      </c>
      <c r="E2157" s="37">
        <v>1.0210999999999999</v>
      </c>
      <c r="F2157" s="34">
        <v>16.377999999999997</v>
      </c>
      <c r="G2157" s="34">
        <f t="shared" si="35"/>
        <v>16.723575799999995</v>
      </c>
      <c r="H2157" s="39">
        <f>SUM(G2157:G2159)</f>
        <v>18.125448999999996</v>
      </c>
      <c r="I2157" s="40"/>
      <c r="J2157" s="156">
        <v>0</v>
      </c>
    </row>
    <row r="2158" spans="1:10" ht="26.25" hidden="1" thickBot="1" x14ac:dyDescent="0.3">
      <c r="A2158" s="222"/>
      <c r="B2158" s="225"/>
      <c r="C2158" s="36" t="s">
        <v>110</v>
      </c>
      <c r="D2158" s="47" t="s">
        <v>12</v>
      </c>
      <c r="E2158" s="37">
        <f>0.052*0.7</f>
        <v>3.6399999999999995E-2</v>
      </c>
      <c r="F2158" s="31">
        <v>16.891000000000002</v>
      </c>
      <c r="G2158" s="34">
        <f t="shared" si="35"/>
        <v>0.61483239999999995</v>
      </c>
      <c r="H2158" s="35"/>
      <c r="I2158" s="31"/>
      <c r="J2158" s="156">
        <v>0</v>
      </c>
    </row>
    <row r="2159" spans="1:10" ht="15.75" hidden="1" thickBot="1" x14ac:dyDescent="0.3">
      <c r="A2159" s="222"/>
      <c r="B2159" s="225"/>
      <c r="C2159" s="36" t="s">
        <v>39</v>
      </c>
      <c r="D2159" s="47" t="s">
        <v>12</v>
      </c>
      <c r="E2159" s="37">
        <f>0.052*0.7</f>
        <v>3.6399999999999995E-2</v>
      </c>
      <c r="F2159" s="31">
        <v>21.622</v>
      </c>
      <c r="G2159" s="34">
        <f t="shared" si="35"/>
        <v>0.78704079999999987</v>
      </c>
      <c r="H2159" s="35"/>
      <c r="I2159" s="31"/>
      <c r="J2159" s="156">
        <v>0</v>
      </c>
    </row>
    <row r="2160" spans="1:10" ht="15.75" hidden="1" thickBot="1" x14ac:dyDescent="0.3">
      <c r="A2160" s="222"/>
      <c r="B2160" s="225"/>
      <c r="C2160" s="36"/>
      <c r="D2160" s="47"/>
      <c r="E2160" s="37"/>
      <c r="F2160" s="34" t="s">
        <v>572</v>
      </c>
      <c r="G2160" s="34" t="str">
        <f t="shared" si="35"/>
        <v/>
      </c>
      <c r="H2160" s="35"/>
      <c r="I2160" s="31"/>
      <c r="J2160" s="156">
        <v>0</v>
      </c>
    </row>
    <row r="2161" spans="1:10" ht="39" hidden="1" thickBot="1" x14ac:dyDescent="0.3">
      <c r="A2161" s="222"/>
      <c r="B2161" s="225"/>
      <c r="C2161" s="52" t="s">
        <v>696</v>
      </c>
      <c r="D2161" s="47"/>
      <c r="E2161" s="37"/>
      <c r="F2161" s="34" t="s">
        <v>572</v>
      </c>
      <c r="G2161" s="34" t="str">
        <f t="shared" si="35"/>
        <v/>
      </c>
      <c r="H2161" s="35"/>
      <c r="I2161" s="31"/>
      <c r="J2161" s="156">
        <v>0</v>
      </c>
    </row>
    <row r="2162" spans="1:10" ht="15.75" hidden="1" thickBot="1" x14ac:dyDescent="0.3">
      <c r="A2162" s="223"/>
      <c r="B2162" s="226"/>
      <c r="C2162" s="36"/>
      <c r="D2162" s="36"/>
      <c r="E2162" s="37"/>
      <c r="F2162" s="31" t="s">
        <v>572</v>
      </c>
      <c r="G2162" s="31" t="str">
        <f t="shared" si="35"/>
        <v/>
      </c>
      <c r="H2162" s="35"/>
      <c r="I2162" s="31"/>
      <c r="J2162" s="156">
        <v>0</v>
      </c>
    </row>
    <row r="2163" spans="1:10" ht="15.75" hidden="1" thickBot="1" x14ac:dyDescent="0.3">
      <c r="A2163" s="221" t="s">
        <v>729</v>
      </c>
      <c r="B2163" s="224" t="str">
        <f>INDEX(Orçamentária!A:B,MATCH(Composições!A2163,Orçamentária!A:A,0),2)</f>
        <v>Tubo de cobre de 3/4"</v>
      </c>
      <c r="C2163" s="41"/>
      <c r="D2163" s="26" t="str">
        <f>TRIM(INDEX(Orçamentária!C:C,MATCH(Composições!A2163,Orçamentária!A:A,0),1))</f>
        <v>m</v>
      </c>
      <c r="E2163" s="27"/>
      <c r="F2163" s="42" t="s">
        <v>572</v>
      </c>
      <c r="G2163" s="28" t="str">
        <f t="shared" si="35"/>
        <v/>
      </c>
      <c r="H2163" s="29"/>
      <c r="I2163" s="30"/>
      <c r="J2163" s="156">
        <v>0</v>
      </c>
    </row>
    <row r="2164" spans="1:10" ht="15.75" hidden="1" thickBot="1" x14ac:dyDescent="0.3">
      <c r="A2164" s="222"/>
      <c r="B2164" s="225"/>
      <c r="C2164" s="32"/>
      <c r="D2164" s="32"/>
      <c r="E2164" s="33"/>
      <c r="F2164" s="43" t="s">
        <v>572</v>
      </c>
      <c r="G2164" s="31" t="str">
        <f t="shared" si="35"/>
        <v/>
      </c>
      <c r="H2164" s="35"/>
      <c r="I2164" s="31"/>
      <c r="J2164" s="156">
        <v>0</v>
      </c>
    </row>
    <row r="2165" spans="1:10" ht="26.25" hidden="1" thickBot="1" x14ac:dyDescent="0.3">
      <c r="A2165" s="222"/>
      <c r="B2165" s="225"/>
      <c r="C2165" s="36" t="s">
        <v>730</v>
      </c>
      <c r="D2165" s="47" t="s">
        <v>94</v>
      </c>
      <c r="E2165" s="37">
        <v>1.0210999999999999</v>
      </c>
      <c r="F2165" s="34">
        <v>51.404499999999999</v>
      </c>
      <c r="G2165" s="34">
        <f t="shared" si="35"/>
        <v>52.489134949999993</v>
      </c>
      <c r="H2165" s="39">
        <f>SUM(G2165:G2167)</f>
        <v>54.214517349999994</v>
      </c>
      <c r="I2165" s="40"/>
      <c r="J2165" s="156">
        <v>0</v>
      </c>
    </row>
    <row r="2166" spans="1:10" ht="26.25" hidden="1" thickBot="1" x14ac:dyDescent="0.3">
      <c r="A2166" s="222"/>
      <c r="B2166" s="225"/>
      <c r="C2166" s="36" t="s">
        <v>110</v>
      </c>
      <c r="D2166" s="47" t="s">
        <v>12</v>
      </c>
      <c r="E2166" s="37">
        <f>0.064*0.7</f>
        <v>4.48E-2</v>
      </c>
      <c r="F2166" s="31">
        <v>16.891000000000002</v>
      </c>
      <c r="G2166" s="34">
        <f t="shared" si="35"/>
        <v>0.75671680000000008</v>
      </c>
      <c r="H2166" s="35"/>
      <c r="I2166" s="31"/>
      <c r="J2166" s="156">
        <v>0</v>
      </c>
    </row>
    <row r="2167" spans="1:10" ht="15.75" hidden="1" thickBot="1" x14ac:dyDescent="0.3">
      <c r="A2167" s="222"/>
      <c r="B2167" s="225"/>
      <c r="C2167" s="36" t="s">
        <v>39</v>
      </c>
      <c r="D2167" s="47" t="s">
        <v>12</v>
      </c>
      <c r="E2167" s="37">
        <f>0.064*0.7</f>
        <v>4.48E-2</v>
      </c>
      <c r="F2167" s="31">
        <v>21.622</v>
      </c>
      <c r="G2167" s="34">
        <f t="shared" si="35"/>
        <v>0.96866560000000002</v>
      </c>
      <c r="H2167" s="35"/>
      <c r="I2167" s="31"/>
      <c r="J2167" s="156">
        <v>0</v>
      </c>
    </row>
    <row r="2168" spans="1:10" ht="15.75" hidden="1" thickBot="1" x14ac:dyDescent="0.3">
      <c r="A2168" s="222"/>
      <c r="B2168" s="225"/>
      <c r="C2168" s="36"/>
      <c r="D2168" s="47"/>
      <c r="E2168" s="37"/>
      <c r="F2168" s="34" t="s">
        <v>572</v>
      </c>
      <c r="G2168" s="34" t="str">
        <f t="shared" si="35"/>
        <v/>
      </c>
      <c r="H2168" s="35"/>
      <c r="I2168" s="31"/>
      <c r="J2168" s="156">
        <v>0</v>
      </c>
    </row>
    <row r="2169" spans="1:10" ht="39" hidden="1" thickBot="1" x14ac:dyDescent="0.3">
      <c r="A2169" s="222"/>
      <c r="B2169" s="225"/>
      <c r="C2169" s="52" t="s">
        <v>696</v>
      </c>
      <c r="D2169" s="47"/>
      <c r="E2169" s="37"/>
      <c r="F2169" s="34" t="s">
        <v>572</v>
      </c>
      <c r="G2169" s="34" t="str">
        <f t="shared" si="35"/>
        <v/>
      </c>
      <c r="H2169" s="35"/>
      <c r="I2169" s="31"/>
      <c r="J2169" s="156">
        <v>0</v>
      </c>
    </row>
    <row r="2170" spans="1:10" ht="15.75" hidden="1" thickBot="1" x14ac:dyDescent="0.3">
      <c r="A2170" s="223"/>
      <c r="B2170" s="226"/>
      <c r="C2170" s="36"/>
      <c r="D2170" s="36"/>
      <c r="E2170" s="37"/>
      <c r="F2170" s="31" t="s">
        <v>572</v>
      </c>
      <c r="G2170" s="31" t="str">
        <f t="shared" si="35"/>
        <v/>
      </c>
      <c r="H2170" s="35"/>
      <c r="I2170" s="31"/>
      <c r="J2170" s="156">
        <v>0</v>
      </c>
    </row>
    <row r="2171" spans="1:10" ht="15.75" hidden="1" thickBot="1" x14ac:dyDescent="0.3">
      <c r="A2171" s="221" t="s">
        <v>731</v>
      </c>
      <c r="B2171" s="224" t="str">
        <f>INDEX(Orçamentária!A:B,MATCH(Composições!A2171,Orçamentária!A:A,0),2)</f>
        <v>Tubo de cobre de 3/8"</v>
      </c>
      <c r="C2171" s="41"/>
      <c r="D2171" s="26" t="str">
        <f>TRIM(INDEX(Orçamentária!C:C,MATCH(Composições!A2171,Orçamentária!A:A,0),1))</f>
        <v>m</v>
      </c>
      <c r="E2171" s="27"/>
      <c r="F2171" s="42" t="s">
        <v>572</v>
      </c>
      <c r="G2171" s="28" t="str">
        <f t="shared" si="35"/>
        <v/>
      </c>
      <c r="H2171" s="29"/>
      <c r="I2171" s="30"/>
      <c r="J2171" s="156">
        <v>0</v>
      </c>
    </row>
    <row r="2172" spans="1:10" ht="15.75" hidden="1" thickBot="1" x14ac:dyDescent="0.3">
      <c r="A2172" s="222"/>
      <c r="B2172" s="225"/>
      <c r="C2172" s="32"/>
      <c r="D2172" s="32"/>
      <c r="E2172" s="33"/>
      <c r="F2172" s="43" t="s">
        <v>572</v>
      </c>
      <c r="G2172" s="31" t="str">
        <f t="shared" si="35"/>
        <v/>
      </c>
      <c r="H2172" s="35"/>
      <c r="I2172" s="31"/>
      <c r="J2172" s="156">
        <v>0</v>
      </c>
    </row>
    <row r="2173" spans="1:10" ht="26.25" hidden="1" thickBot="1" x14ac:dyDescent="0.3">
      <c r="A2173" s="222"/>
      <c r="B2173" s="225"/>
      <c r="C2173" s="36" t="s">
        <v>732</v>
      </c>
      <c r="D2173" s="47" t="s">
        <v>94</v>
      </c>
      <c r="E2173" s="37">
        <v>1.0210999999999999</v>
      </c>
      <c r="F2173" s="34">
        <v>25.193999999999999</v>
      </c>
      <c r="G2173" s="34">
        <f t="shared" si="35"/>
        <v>25.725593399999998</v>
      </c>
      <c r="H2173" s="39">
        <f>SUM(G2173:G2175)</f>
        <v>27.262262099999997</v>
      </c>
      <c r="I2173" s="40"/>
      <c r="J2173" s="156">
        <v>0</v>
      </c>
    </row>
    <row r="2174" spans="1:10" ht="26.25" hidden="1" thickBot="1" x14ac:dyDescent="0.3">
      <c r="A2174" s="222"/>
      <c r="B2174" s="225"/>
      <c r="C2174" s="36" t="s">
        <v>110</v>
      </c>
      <c r="D2174" s="47" t="s">
        <v>12</v>
      </c>
      <c r="E2174" s="37">
        <f>0.057*0.7</f>
        <v>3.9899999999999998E-2</v>
      </c>
      <c r="F2174" s="31">
        <v>16.891000000000002</v>
      </c>
      <c r="G2174" s="34">
        <f t="shared" si="35"/>
        <v>0.67395090000000002</v>
      </c>
      <c r="H2174" s="35"/>
      <c r="I2174" s="31"/>
      <c r="J2174" s="156">
        <v>0</v>
      </c>
    </row>
    <row r="2175" spans="1:10" ht="15.75" hidden="1" thickBot="1" x14ac:dyDescent="0.3">
      <c r="A2175" s="222"/>
      <c r="B2175" s="225"/>
      <c r="C2175" s="36" t="s">
        <v>39</v>
      </c>
      <c r="D2175" s="47" t="s">
        <v>12</v>
      </c>
      <c r="E2175" s="37">
        <f>0.057*0.7</f>
        <v>3.9899999999999998E-2</v>
      </c>
      <c r="F2175" s="31">
        <v>21.622</v>
      </c>
      <c r="G2175" s="34">
        <f t="shared" si="35"/>
        <v>0.86271779999999998</v>
      </c>
      <c r="H2175" s="35"/>
      <c r="I2175" s="31"/>
      <c r="J2175" s="156">
        <v>0</v>
      </c>
    </row>
    <row r="2176" spans="1:10" ht="15.75" hidden="1" thickBot="1" x14ac:dyDescent="0.3">
      <c r="A2176" s="222"/>
      <c r="B2176" s="225"/>
      <c r="C2176" s="36"/>
      <c r="D2176" s="47"/>
      <c r="E2176" s="37"/>
      <c r="F2176" s="34" t="s">
        <v>572</v>
      </c>
      <c r="G2176" s="34" t="str">
        <f t="shared" si="35"/>
        <v/>
      </c>
      <c r="H2176" s="35"/>
      <c r="I2176" s="31"/>
      <c r="J2176" s="156">
        <v>0</v>
      </c>
    </row>
    <row r="2177" spans="1:10" ht="39" hidden="1" thickBot="1" x14ac:dyDescent="0.3">
      <c r="A2177" s="222"/>
      <c r="B2177" s="225"/>
      <c r="C2177" s="52" t="s">
        <v>696</v>
      </c>
      <c r="D2177" s="47"/>
      <c r="E2177" s="37"/>
      <c r="F2177" s="34" t="s">
        <v>572</v>
      </c>
      <c r="G2177" s="34" t="str">
        <f t="shared" si="35"/>
        <v/>
      </c>
      <c r="H2177" s="35"/>
      <c r="I2177" s="31"/>
      <c r="J2177" s="156">
        <v>0</v>
      </c>
    </row>
    <row r="2178" spans="1:10" ht="15.75" hidden="1" thickBot="1" x14ac:dyDescent="0.3">
      <c r="A2178" s="223"/>
      <c r="B2178" s="226"/>
      <c r="C2178" s="36"/>
      <c r="D2178" s="36"/>
      <c r="E2178" s="37"/>
      <c r="F2178" s="31" t="s">
        <v>572</v>
      </c>
      <c r="G2178" s="31" t="str">
        <f t="shared" si="35"/>
        <v/>
      </c>
      <c r="H2178" s="35"/>
      <c r="I2178" s="31"/>
      <c r="J2178" s="156">
        <v>0</v>
      </c>
    </row>
    <row r="2179" spans="1:10" ht="15.75" hidden="1" thickBot="1" x14ac:dyDescent="0.3">
      <c r="A2179" s="221" t="s">
        <v>733</v>
      </c>
      <c r="B2179" s="224" t="str">
        <f>INDEX(Orçamentária!A:B,MATCH(Composições!A2179,Orçamentária!A:A,0),2)</f>
        <v>Tubo de cobre de 5/8"</v>
      </c>
      <c r="C2179" s="41"/>
      <c r="D2179" s="26" t="str">
        <f>TRIM(INDEX(Orçamentária!C:C,MATCH(Composições!A2179,Orçamentária!A:A,0),1))</f>
        <v>m</v>
      </c>
      <c r="E2179" s="27"/>
      <c r="F2179" s="42" t="s">
        <v>572</v>
      </c>
      <c r="G2179" s="28" t="str">
        <f t="shared" si="35"/>
        <v/>
      </c>
      <c r="H2179" s="29"/>
      <c r="I2179" s="30"/>
      <c r="J2179" s="156">
        <v>0</v>
      </c>
    </row>
    <row r="2180" spans="1:10" ht="15.75" hidden="1" thickBot="1" x14ac:dyDescent="0.3">
      <c r="A2180" s="222"/>
      <c r="B2180" s="225"/>
      <c r="C2180" s="32"/>
      <c r="D2180" s="32"/>
      <c r="E2180" s="33"/>
      <c r="F2180" s="43" t="s">
        <v>572</v>
      </c>
      <c r="G2180" s="31" t="str">
        <f t="shared" si="35"/>
        <v/>
      </c>
      <c r="H2180" s="35"/>
      <c r="I2180" s="31"/>
      <c r="J2180" s="156">
        <v>0</v>
      </c>
    </row>
    <row r="2181" spans="1:10" ht="26.25" hidden="1" thickBot="1" x14ac:dyDescent="0.3">
      <c r="A2181" s="222"/>
      <c r="B2181" s="225"/>
      <c r="C2181" s="36" t="s">
        <v>734</v>
      </c>
      <c r="D2181" s="47" t="s">
        <v>94</v>
      </c>
      <c r="E2181" s="37">
        <v>1.0210999999999999</v>
      </c>
      <c r="F2181" s="34">
        <v>42.503</v>
      </c>
      <c r="G2181" s="34">
        <f t="shared" si="35"/>
        <v>43.399813299999998</v>
      </c>
      <c r="H2181" s="39">
        <f>SUM(G2181:G2183)</f>
        <v>45.125195699999999</v>
      </c>
      <c r="I2181" s="40"/>
      <c r="J2181" s="156">
        <v>0</v>
      </c>
    </row>
    <row r="2182" spans="1:10" ht="26.25" hidden="1" thickBot="1" x14ac:dyDescent="0.3">
      <c r="A2182" s="222"/>
      <c r="B2182" s="225"/>
      <c r="C2182" s="36" t="s">
        <v>110</v>
      </c>
      <c r="D2182" s="47" t="s">
        <v>12</v>
      </c>
      <c r="E2182" s="37">
        <f>0.064*0.7</f>
        <v>4.48E-2</v>
      </c>
      <c r="F2182" s="31">
        <v>16.891000000000002</v>
      </c>
      <c r="G2182" s="34">
        <f t="shared" si="35"/>
        <v>0.75671680000000008</v>
      </c>
      <c r="H2182" s="35"/>
      <c r="I2182" s="31"/>
      <c r="J2182" s="156">
        <v>0</v>
      </c>
    </row>
    <row r="2183" spans="1:10" ht="15.75" hidden="1" thickBot="1" x14ac:dyDescent="0.3">
      <c r="A2183" s="222"/>
      <c r="B2183" s="225"/>
      <c r="C2183" s="36" t="s">
        <v>39</v>
      </c>
      <c r="D2183" s="47" t="s">
        <v>12</v>
      </c>
      <c r="E2183" s="37">
        <f>0.064*0.7</f>
        <v>4.48E-2</v>
      </c>
      <c r="F2183" s="31">
        <v>21.622</v>
      </c>
      <c r="G2183" s="34">
        <f t="shared" si="35"/>
        <v>0.96866560000000002</v>
      </c>
      <c r="H2183" s="35"/>
      <c r="I2183" s="31"/>
      <c r="J2183" s="156">
        <v>0</v>
      </c>
    </row>
    <row r="2184" spans="1:10" ht="15.75" hidden="1" thickBot="1" x14ac:dyDescent="0.3">
      <c r="A2184" s="222"/>
      <c r="B2184" s="225"/>
      <c r="C2184" s="36"/>
      <c r="D2184" s="47"/>
      <c r="E2184" s="37"/>
      <c r="F2184" s="34" t="s">
        <v>572</v>
      </c>
      <c r="G2184" s="34" t="str">
        <f t="shared" si="35"/>
        <v/>
      </c>
      <c r="H2184" s="35"/>
      <c r="I2184" s="31"/>
      <c r="J2184" s="156">
        <v>0</v>
      </c>
    </row>
    <row r="2185" spans="1:10" ht="39" hidden="1" thickBot="1" x14ac:dyDescent="0.3">
      <c r="A2185" s="222"/>
      <c r="B2185" s="225"/>
      <c r="C2185" s="52" t="s">
        <v>696</v>
      </c>
      <c r="D2185" s="47"/>
      <c r="E2185" s="37"/>
      <c r="F2185" s="34" t="s">
        <v>572</v>
      </c>
      <c r="G2185" s="34" t="str">
        <f t="shared" si="35"/>
        <v/>
      </c>
      <c r="H2185" s="35"/>
      <c r="I2185" s="31"/>
      <c r="J2185" s="156">
        <v>0</v>
      </c>
    </row>
    <row r="2186" spans="1:10" ht="15.75" hidden="1" thickBot="1" x14ac:dyDescent="0.3">
      <c r="A2186" s="223"/>
      <c r="B2186" s="226"/>
      <c r="C2186" s="36"/>
      <c r="D2186" s="36"/>
      <c r="E2186" s="37"/>
      <c r="F2186" s="31" t="s">
        <v>572</v>
      </c>
      <c r="G2186" s="31" t="str">
        <f t="shared" si="35"/>
        <v/>
      </c>
      <c r="H2186" s="35"/>
      <c r="I2186" s="31"/>
      <c r="J2186" s="156">
        <v>0</v>
      </c>
    </row>
    <row r="2187" spans="1:10" ht="15.75" hidden="1" thickBot="1" x14ac:dyDescent="0.3">
      <c r="A2187" s="221" t="s">
        <v>735</v>
      </c>
      <c r="B2187" s="224" t="str">
        <f>INDEX(Orçamentária!A:B,MATCH(Composições!A2187,Orçamentária!A:A,0),2)</f>
        <v>Tubo de cobre de 7/8"</v>
      </c>
      <c r="C2187" s="41"/>
      <c r="D2187" s="26" t="str">
        <f>TRIM(INDEX(Orçamentária!C:C,MATCH(Composições!A2187,Orçamentária!A:A,0),1))</f>
        <v>m</v>
      </c>
      <c r="E2187" s="27"/>
      <c r="F2187" s="42" t="s">
        <v>572</v>
      </c>
      <c r="G2187" s="28" t="str">
        <f t="shared" si="35"/>
        <v/>
      </c>
      <c r="H2187" s="29"/>
      <c r="I2187" s="30"/>
      <c r="J2187" s="156">
        <v>0</v>
      </c>
    </row>
    <row r="2188" spans="1:10" ht="15.75" hidden="1" thickBot="1" x14ac:dyDescent="0.3">
      <c r="A2188" s="222"/>
      <c r="B2188" s="225"/>
      <c r="C2188" s="32"/>
      <c r="D2188" s="32"/>
      <c r="E2188" s="33"/>
      <c r="F2188" s="43" t="s">
        <v>572</v>
      </c>
      <c r="G2188" s="31" t="str">
        <f t="shared" si="35"/>
        <v/>
      </c>
      <c r="H2188" s="35"/>
      <c r="I2188" s="31"/>
      <c r="J2188" s="156">
        <v>0</v>
      </c>
    </row>
    <row r="2189" spans="1:10" ht="26.25" hidden="1" thickBot="1" x14ac:dyDescent="0.3">
      <c r="A2189" s="222"/>
      <c r="B2189" s="225"/>
      <c r="C2189" s="36" t="s">
        <v>736</v>
      </c>
      <c r="D2189" s="47" t="s">
        <v>94</v>
      </c>
      <c r="E2189" s="37">
        <v>1.0210999999999999</v>
      </c>
      <c r="F2189" s="34">
        <v>0.95</v>
      </c>
      <c r="G2189" s="34">
        <f t="shared" si="35"/>
        <v>0.97004499999999982</v>
      </c>
      <c r="H2189" s="39">
        <f>SUM(G2189:G2191)</f>
        <v>2.6954273999999998</v>
      </c>
      <c r="I2189" s="40"/>
      <c r="J2189" s="156">
        <v>0</v>
      </c>
    </row>
    <row r="2190" spans="1:10" ht="26.25" hidden="1" thickBot="1" x14ac:dyDescent="0.3">
      <c r="A2190" s="222"/>
      <c r="B2190" s="225"/>
      <c r="C2190" s="36" t="s">
        <v>110</v>
      </c>
      <c r="D2190" s="47" t="s">
        <v>12</v>
      </c>
      <c r="E2190" s="37">
        <f>0.064*0.7</f>
        <v>4.48E-2</v>
      </c>
      <c r="F2190" s="31">
        <v>16.891000000000002</v>
      </c>
      <c r="G2190" s="34">
        <f t="shared" si="35"/>
        <v>0.75671680000000008</v>
      </c>
      <c r="H2190" s="35"/>
      <c r="I2190" s="31"/>
      <c r="J2190" s="156">
        <v>0</v>
      </c>
    </row>
    <row r="2191" spans="1:10" ht="15.75" hidden="1" thickBot="1" x14ac:dyDescent="0.3">
      <c r="A2191" s="222"/>
      <c r="B2191" s="225"/>
      <c r="C2191" s="36" t="s">
        <v>39</v>
      </c>
      <c r="D2191" s="47" t="s">
        <v>12</v>
      </c>
      <c r="E2191" s="37">
        <f>0.064*0.7</f>
        <v>4.48E-2</v>
      </c>
      <c r="F2191" s="31">
        <v>21.622</v>
      </c>
      <c r="G2191" s="34">
        <f t="shared" si="35"/>
        <v>0.96866560000000002</v>
      </c>
      <c r="H2191" s="35"/>
      <c r="I2191" s="31"/>
      <c r="J2191" s="156">
        <v>0</v>
      </c>
    </row>
    <row r="2192" spans="1:10" ht="15.75" hidden="1" thickBot="1" x14ac:dyDescent="0.3">
      <c r="A2192" s="222"/>
      <c r="B2192" s="225"/>
      <c r="C2192" s="36"/>
      <c r="D2192" s="47"/>
      <c r="E2192" s="37"/>
      <c r="F2192" s="34" t="s">
        <v>572</v>
      </c>
      <c r="G2192" s="34" t="str">
        <f t="shared" si="35"/>
        <v/>
      </c>
      <c r="H2192" s="35"/>
      <c r="I2192" s="31"/>
      <c r="J2192" s="156">
        <v>0</v>
      </c>
    </row>
    <row r="2193" spans="1:10" ht="39" hidden="1" thickBot="1" x14ac:dyDescent="0.3">
      <c r="A2193" s="222"/>
      <c r="B2193" s="225"/>
      <c r="C2193" s="52" t="s">
        <v>696</v>
      </c>
      <c r="D2193" s="47"/>
      <c r="E2193" s="37"/>
      <c r="F2193" s="34" t="s">
        <v>572</v>
      </c>
      <c r="G2193" s="34" t="str">
        <f t="shared" si="35"/>
        <v/>
      </c>
      <c r="H2193" s="35"/>
      <c r="I2193" s="31"/>
      <c r="J2193" s="156">
        <v>0</v>
      </c>
    </row>
    <row r="2194" spans="1:10" ht="15.75" hidden="1" thickBot="1" x14ac:dyDescent="0.3">
      <c r="A2194" s="223"/>
      <c r="B2194" s="226"/>
      <c r="C2194" s="36"/>
      <c r="D2194" s="36"/>
      <c r="E2194" s="37"/>
      <c r="F2194" s="31" t="s">
        <v>572</v>
      </c>
      <c r="G2194" s="31" t="str">
        <f t="shared" si="35"/>
        <v/>
      </c>
      <c r="H2194" s="35"/>
      <c r="I2194" s="31"/>
      <c r="J2194" s="156">
        <v>0</v>
      </c>
    </row>
    <row r="2195" spans="1:10" ht="15.75" hidden="1" thickBot="1" x14ac:dyDescent="0.3">
      <c r="A2195" s="221" t="s">
        <v>737</v>
      </c>
      <c r="B2195" s="224" t="str">
        <f>INDEX(Orçamentária!A:B,MATCH(Composições!A2195,Orçamentária!A:A,0),2)</f>
        <v>Tubo de cobre de 1"</v>
      </c>
      <c r="C2195" s="41"/>
      <c r="D2195" s="26" t="str">
        <f>TRIM(INDEX(Orçamentária!C:C,MATCH(Composições!A2195,Orçamentária!A:A,0),1))</f>
        <v>m</v>
      </c>
      <c r="E2195" s="27"/>
      <c r="F2195" s="42" t="s">
        <v>572</v>
      </c>
      <c r="G2195" s="28" t="str">
        <f t="shared" si="35"/>
        <v/>
      </c>
      <c r="H2195" s="29"/>
      <c r="I2195" s="30"/>
      <c r="J2195" s="156">
        <v>0</v>
      </c>
    </row>
    <row r="2196" spans="1:10" ht="15.75" hidden="1" thickBot="1" x14ac:dyDescent="0.3">
      <c r="A2196" s="222"/>
      <c r="B2196" s="225"/>
      <c r="C2196" s="32"/>
      <c r="D2196" s="32"/>
      <c r="E2196" s="33"/>
      <c r="F2196" s="43" t="s">
        <v>572</v>
      </c>
      <c r="G2196" s="31" t="str">
        <f t="shared" si="35"/>
        <v/>
      </c>
      <c r="H2196" s="35"/>
      <c r="I2196" s="31"/>
      <c r="J2196" s="156">
        <v>0</v>
      </c>
    </row>
    <row r="2197" spans="1:10" ht="26.25" hidden="1" thickBot="1" x14ac:dyDescent="0.3">
      <c r="A2197" s="222"/>
      <c r="B2197" s="225"/>
      <c r="C2197" s="36" t="s">
        <v>738</v>
      </c>
      <c r="D2197" s="47" t="s">
        <v>94</v>
      </c>
      <c r="E2197" s="37">
        <v>1.0210999999999999</v>
      </c>
      <c r="F2197" s="34">
        <v>0.95</v>
      </c>
      <c r="G2197" s="34">
        <f t="shared" ref="G2197:G2260" si="36">IF(ISNUMBER(F2197),E2197*F2197,"")</f>
        <v>0.97004499999999982</v>
      </c>
      <c r="H2197" s="39">
        <f>SUM(G2197:G2199)</f>
        <v>2.6954273999999998</v>
      </c>
      <c r="I2197" s="40"/>
      <c r="J2197" s="156">
        <v>0</v>
      </c>
    </row>
    <row r="2198" spans="1:10" ht="26.25" hidden="1" thickBot="1" x14ac:dyDescent="0.3">
      <c r="A2198" s="222"/>
      <c r="B2198" s="225"/>
      <c r="C2198" s="36" t="s">
        <v>110</v>
      </c>
      <c r="D2198" s="47" t="s">
        <v>12</v>
      </c>
      <c r="E2198" s="37">
        <f>0.064*0.7</f>
        <v>4.48E-2</v>
      </c>
      <c r="F2198" s="31">
        <v>16.891000000000002</v>
      </c>
      <c r="G2198" s="34">
        <f t="shared" si="36"/>
        <v>0.75671680000000008</v>
      </c>
      <c r="H2198" s="35"/>
      <c r="I2198" s="31"/>
      <c r="J2198" s="156">
        <v>0</v>
      </c>
    </row>
    <row r="2199" spans="1:10" ht="15.75" hidden="1" thickBot="1" x14ac:dyDescent="0.3">
      <c r="A2199" s="222"/>
      <c r="B2199" s="225"/>
      <c r="C2199" s="36" t="s">
        <v>39</v>
      </c>
      <c r="D2199" s="47" t="s">
        <v>12</v>
      </c>
      <c r="E2199" s="37">
        <f>0.064*0.7</f>
        <v>4.48E-2</v>
      </c>
      <c r="F2199" s="31">
        <v>21.622</v>
      </c>
      <c r="G2199" s="34">
        <f t="shared" si="36"/>
        <v>0.96866560000000002</v>
      </c>
      <c r="H2199" s="35"/>
      <c r="I2199" s="31"/>
      <c r="J2199" s="156">
        <v>0</v>
      </c>
    </row>
    <row r="2200" spans="1:10" ht="15.75" hidden="1" thickBot="1" x14ac:dyDescent="0.3">
      <c r="A2200" s="222"/>
      <c r="B2200" s="225"/>
      <c r="C2200" s="36"/>
      <c r="D2200" s="47"/>
      <c r="E2200" s="37"/>
      <c r="F2200" s="34" t="s">
        <v>572</v>
      </c>
      <c r="G2200" s="34" t="str">
        <f t="shared" si="36"/>
        <v/>
      </c>
      <c r="H2200" s="35"/>
      <c r="I2200" s="31"/>
      <c r="J2200" s="156">
        <v>0</v>
      </c>
    </row>
    <row r="2201" spans="1:10" ht="39" hidden="1" thickBot="1" x14ac:dyDescent="0.3">
      <c r="A2201" s="222"/>
      <c r="B2201" s="225"/>
      <c r="C2201" s="52" t="s">
        <v>696</v>
      </c>
      <c r="D2201" s="47"/>
      <c r="E2201" s="37"/>
      <c r="F2201" s="34" t="s">
        <v>572</v>
      </c>
      <c r="G2201" s="34" t="str">
        <f t="shared" si="36"/>
        <v/>
      </c>
      <c r="H2201" s="35"/>
      <c r="I2201" s="31"/>
      <c r="J2201" s="156">
        <v>0</v>
      </c>
    </row>
    <row r="2202" spans="1:10" ht="15.75" hidden="1" thickBot="1" x14ac:dyDescent="0.3">
      <c r="A2202" s="223"/>
      <c r="B2202" s="226"/>
      <c r="C2202" s="36"/>
      <c r="D2202" s="36"/>
      <c r="E2202" s="37"/>
      <c r="F2202" s="31" t="s">
        <v>572</v>
      </c>
      <c r="G2202" s="31" t="str">
        <f t="shared" si="36"/>
        <v/>
      </c>
      <c r="H2202" s="35"/>
      <c r="I2202" s="31"/>
      <c r="J2202" s="156">
        <v>0</v>
      </c>
    </row>
    <row r="2203" spans="1:10" ht="15.75" hidden="1" thickBot="1" x14ac:dyDescent="0.3">
      <c r="A2203" s="221" t="s">
        <v>739</v>
      </c>
      <c r="B2203" s="224" t="str">
        <f>INDEX(Orçamentária!A:B,MATCH(Composições!A2203,Orçamentária!A:A,0),2)</f>
        <v>Tubo de cobre de 1 1/8"</v>
      </c>
      <c r="C2203" s="41"/>
      <c r="D2203" s="26" t="str">
        <f>TRIM(INDEX(Orçamentária!C:C,MATCH(Composições!A2203,Orçamentária!A:A,0),1))</f>
        <v>m</v>
      </c>
      <c r="E2203" s="27"/>
      <c r="F2203" s="42" t="s">
        <v>572</v>
      </c>
      <c r="G2203" s="28" t="str">
        <f t="shared" si="36"/>
        <v/>
      </c>
      <c r="H2203" s="29"/>
      <c r="I2203" s="30"/>
      <c r="J2203" s="156">
        <v>0</v>
      </c>
    </row>
    <row r="2204" spans="1:10" ht="15.75" hidden="1" thickBot="1" x14ac:dyDescent="0.3">
      <c r="A2204" s="222"/>
      <c r="B2204" s="225"/>
      <c r="C2204" s="32"/>
      <c r="D2204" s="32"/>
      <c r="E2204" s="33"/>
      <c r="F2204" s="43" t="s">
        <v>572</v>
      </c>
      <c r="G2204" s="31" t="str">
        <f t="shared" si="36"/>
        <v/>
      </c>
      <c r="H2204" s="35"/>
      <c r="I2204" s="31"/>
      <c r="J2204" s="156">
        <v>0</v>
      </c>
    </row>
    <row r="2205" spans="1:10" ht="26.25" hidden="1" thickBot="1" x14ac:dyDescent="0.3">
      <c r="A2205" s="222"/>
      <c r="B2205" s="225"/>
      <c r="C2205" s="36" t="s">
        <v>740</v>
      </c>
      <c r="D2205" s="47" t="s">
        <v>94</v>
      </c>
      <c r="E2205" s="37">
        <v>1.0210999999999999</v>
      </c>
      <c r="F2205" s="34">
        <v>0.95</v>
      </c>
      <c r="G2205" s="34">
        <f t="shared" si="36"/>
        <v>0.97004499999999982</v>
      </c>
      <c r="H2205" s="39">
        <f>SUM(G2205:G2207)</f>
        <v>2.6954273999999998</v>
      </c>
      <c r="I2205" s="40"/>
      <c r="J2205" s="156">
        <v>0</v>
      </c>
    </row>
    <row r="2206" spans="1:10" ht="26.25" hidden="1" thickBot="1" x14ac:dyDescent="0.3">
      <c r="A2206" s="222"/>
      <c r="B2206" s="225"/>
      <c r="C2206" s="36" t="s">
        <v>110</v>
      </c>
      <c r="D2206" s="47" t="s">
        <v>12</v>
      </c>
      <c r="E2206" s="37">
        <f>0.064*0.7</f>
        <v>4.48E-2</v>
      </c>
      <c r="F2206" s="31">
        <v>16.891000000000002</v>
      </c>
      <c r="G2206" s="34">
        <f t="shared" si="36"/>
        <v>0.75671680000000008</v>
      </c>
      <c r="H2206" s="35"/>
      <c r="I2206" s="31"/>
      <c r="J2206" s="156">
        <v>0</v>
      </c>
    </row>
    <row r="2207" spans="1:10" ht="15.75" hidden="1" thickBot="1" x14ac:dyDescent="0.3">
      <c r="A2207" s="222"/>
      <c r="B2207" s="225"/>
      <c r="C2207" s="36" t="s">
        <v>39</v>
      </c>
      <c r="D2207" s="47" t="s">
        <v>12</v>
      </c>
      <c r="E2207" s="37">
        <f>0.064*0.7</f>
        <v>4.48E-2</v>
      </c>
      <c r="F2207" s="31">
        <v>21.622</v>
      </c>
      <c r="G2207" s="34">
        <f t="shared" si="36"/>
        <v>0.96866560000000002</v>
      </c>
      <c r="H2207" s="35"/>
      <c r="I2207" s="31"/>
      <c r="J2207" s="156">
        <v>0</v>
      </c>
    </row>
    <row r="2208" spans="1:10" ht="15.75" hidden="1" thickBot="1" x14ac:dyDescent="0.3">
      <c r="A2208" s="222"/>
      <c r="B2208" s="225"/>
      <c r="C2208" s="36"/>
      <c r="D2208" s="47"/>
      <c r="E2208" s="37"/>
      <c r="F2208" s="34" t="s">
        <v>572</v>
      </c>
      <c r="G2208" s="34" t="str">
        <f t="shared" si="36"/>
        <v/>
      </c>
      <c r="H2208" s="35"/>
      <c r="I2208" s="31"/>
      <c r="J2208" s="156">
        <v>0</v>
      </c>
    </row>
    <row r="2209" spans="1:10" ht="39" hidden="1" thickBot="1" x14ac:dyDescent="0.3">
      <c r="A2209" s="222"/>
      <c r="B2209" s="225"/>
      <c r="C2209" s="52" t="s">
        <v>696</v>
      </c>
      <c r="D2209" s="47"/>
      <c r="E2209" s="37"/>
      <c r="F2209" s="34" t="s">
        <v>572</v>
      </c>
      <c r="G2209" s="34" t="str">
        <f t="shared" si="36"/>
        <v/>
      </c>
      <c r="H2209" s="35"/>
      <c r="I2209" s="31"/>
      <c r="J2209" s="156">
        <v>0</v>
      </c>
    </row>
    <row r="2210" spans="1:10" ht="15.75" hidden="1" thickBot="1" x14ac:dyDescent="0.3">
      <c r="A2210" s="223"/>
      <c r="B2210" s="226"/>
      <c r="C2210" s="36"/>
      <c r="D2210" s="36"/>
      <c r="E2210" s="37"/>
      <c r="F2210" s="31" t="s">
        <v>572</v>
      </c>
      <c r="G2210" s="31" t="str">
        <f t="shared" si="36"/>
        <v/>
      </c>
      <c r="H2210" s="35"/>
      <c r="I2210" s="31"/>
      <c r="J2210" s="156">
        <v>0</v>
      </c>
    </row>
    <row r="2211" spans="1:10" ht="15.75" hidden="1" thickBot="1" x14ac:dyDescent="0.3">
      <c r="A2211" s="221" t="s">
        <v>741</v>
      </c>
      <c r="B2211" s="224" t="str">
        <f>INDEX(Orçamentária!A:B,MATCH(Composições!A2211,Orçamentária!A:A,0),2)</f>
        <v>Instalação de armários reaproveitados</v>
      </c>
      <c r="C2211" s="41"/>
      <c r="D2211" s="26" t="str">
        <f>TRIM(INDEX(Orçamentária!C:C,MATCH(Composições!A2211,Orçamentária!A:A,0),1))</f>
        <v>m2</v>
      </c>
      <c r="E2211" s="27"/>
      <c r="F2211" s="42" t="s">
        <v>572</v>
      </c>
      <c r="G2211" s="28" t="str">
        <f t="shared" si="36"/>
        <v/>
      </c>
      <c r="H2211" s="29"/>
      <c r="I2211" s="30"/>
      <c r="J2211" s="156">
        <v>0</v>
      </c>
    </row>
    <row r="2212" spans="1:10" ht="15.75" hidden="1" thickBot="1" x14ac:dyDescent="0.3">
      <c r="A2212" s="222"/>
      <c r="B2212" s="225"/>
      <c r="C2212" s="32"/>
      <c r="D2212" s="32"/>
      <c r="E2212" s="33"/>
      <c r="F2212" s="43" t="s">
        <v>572</v>
      </c>
      <c r="G2212" s="31" t="str">
        <f t="shared" si="36"/>
        <v/>
      </c>
      <c r="H2212" s="35"/>
      <c r="I2212" s="31"/>
      <c r="J2212" s="156">
        <v>0</v>
      </c>
    </row>
    <row r="2213" spans="1:10" ht="15.75" hidden="1" thickBot="1" x14ac:dyDescent="0.3">
      <c r="A2213" s="222"/>
      <c r="B2213" s="225"/>
      <c r="C2213" s="36" t="s">
        <v>660</v>
      </c>
      <c r="D2213" s="36" t="s">
        <v>12</v>
      </c>
      <c r="E2213" s="37">
        <v>1.8</v>
      </c>
      <c r="F2213" s="31">
        <v>22.268000000000001</v>
      </c>
      <c r="G2213" s="31">
        <f t="shared" si="36"/>
        <v>40.0824</v>
      </c>
      <c r="H2213" s="39">
        <f>SUM(G2213:G2214)</f>
        <v>98.256599999999992</v>
      </c>
      <c r="I2213" s="40"/>
      <c r="J2213" s="156">
        <v>0</v>
      </c>
    </row>
    <row r="2214" spans="1:10" ht="15.75" hidden="1" thickBot="1" x14ac:dyDescent="0.3">
      <c r="A2214" s="222"/>
      <c r="B2214" s="225"/>
      <c r="C2214" s="36" t="s">
        <v>132</v>
      </c>
      <c r="D2214" s="36" t="s">
        <v>12</v>
      </c>
      <c r="E2214" s="37">
        <v>3.15</v>
      </c>
      <c r="F2214" s="31">
        <v>18.468</v>
      </c>
      <c r="G2214" s="31">
        <f t="shared" si="36"/>
        <v>58.174199999999999</v>
      </c>
      <c r="H2214" s="35"/>
      <c r="I2214" s="31"/>
      <c r="J2214" s="156">
        <v>0</v>
      </c>
    </row>
    <row r="2215" spans="1:10" ht="15.75" hidden="1" thickBot="1" x14ac:dyDescent="0.3">
      <c r="A2215" s="223"/>
      <c r="B2215" s="226"/>
      <c r="C2215" s="36"/>
      <c r="D2215" s="36"/>
      <c r="E2215" s="37"/>
      <c r="F2215" s="31" t="s">
        <v>572</v>
      </c>
      <c r="G2215" s="31" t="str">
        <f t="shared" si="36"/>
        <v/>
      </c>
      <c r="H2215" s="35"/>
      <c r="I2215" s="31"/>
      <c r="J2215" s="156">
        <v>0</v>
      </c>
    </row>
    <row r="2216" spans="1:10" ht="15.75" hidden="1" thickBot="1" x14ac:dyDescent="0.3">
      <c r="A2216" s="221" t="s">
        <v>742</v>
      </c>
      <c r="B2216" s="224" t="str">
        <f>INDEX(Orçamentária!A:B,MATCH(Composições!A2216,Orçamentária!A:A,0),2)</f>
        <v>Mesa/tampo de MDF, fixada em parede com mão-francesa</v>
      </c>
      <c r="C2216" s="41"/>
      <c r="D2216" s="26" t="str">
        <f>TRIM(INDEX(Orçamentária!C:C,MATCH(Composições!A2216,Orçamentária!A:A,0),1))</f>
        <v>m2</v>
      </c>
      <c r="E2216" s="27"/>
      <c r="F2216" s="42" t="s">
        <v>572</v>
      </c>
      <c r="G2216" s="28" t="str">
        <f t="shared" si="36"/>
        <v/>
      </c>
      <c r="H2216" s="29"/>
      <c r="I2216" s="30"/>
      <c r="J2216" s="156">
        <v>0</v>
      </c>
    </row>
    <row r="2217" spans="1:10" ht="15.75" hidden="1" thickBot="1" x14ac:dyDescent="0.3">
      <c r="A2217" s="222"/>
      <c r="B2217" s="225"/>
      <c r="C2217" s="32"/>
      <c r="D2217" s="32"/>
      <c r="E2217" s="33"/>
      <c r="F2217" s="43" t="s">
        <v>572</v>
      </c>
      <c r="G2217" s="31" t="str">
        <f t="shared" si="36"/>
        <v/>
      </c>
      <c r="H2217" s="35"/>
      <c r="I2217" s="31"/>
      <c r="J2217" s="156">
        <v>0</v>
      </c>
    </row>
    <row r="2218" spans="1:10" ht="15.75" hidden="1" thickBot="1" x14ac:dyDescent="0.3">
      <c r="A2218" s="222"/>
      <c r="B2218" s="225"/>
      <c r="C2218" s="36" t="s">
        <v>660</v>
      </c>
      <c r="D2218" s="36" t="s">
        <v>12</v>
      </c>
      <c r="E2218" s="37">
        <v>1.8</v>
      </c>
      <c r="F2218" s="31">
        <v>22.268000000000001</v>
      </c>
      <c r="G2218" s="31">
        <f t="shared" si="36"/>
        <v>40.0824</v>
      </c>
      <c r="H2218" s="39">
        <f>SUM(G2218:G2221)</f>
        <v>185.7345</v>
      </c>
      <c r="I2218" s="40"/>
      <c r="J2218" s="156">
        <v>0</v>
      </c>
    </row>
    <row r="2219" spans="1:10" ht="15.75" hidden="1" thickBot="1" x14ac:dyDescent="0.3">
      <c r="A2219" s="222"/>
      <c r="B2219" s="225"/>
      <c r="C2219" s="36" t="s">
        <v>132</v>
      </c>
      <c r="D2219" s="36" t="s">
        <v>12</v>
      </c>
      <c r="E2219" s="37">
        <f>3.15/2</f>
        <v>1.575</v>
      </c>
      <c r="F2219" s="31">
        <v>18.468</v>
      </c>
      <c r="G2219" s="34">
        <f t="shared" si="36"/>
        <v>29.0871</v>
      </c>
      <c r="H2219" s="44"/>
      <c r="I2219" s="40"/>
      <c r="J2219" s="156">
        <v>0</v>
      </c>
    </row>
    <row r="2220" spans="1:10" ht="26.25" hidden="1" thickBot="1" x14ac:dyDescent="0.3">
      <c r="A2220" s="222"/>
      <c r="B2220" s="225"/>
      <c r="C2220" s="36" t="s">
        <v>743</v>
      </c>
      <c r="D2220" s="36" t="s">
        <v>20</v>
      </c>
      <c r="E2220" s="37">
        <v>2</v>
      </c>
      <c r="F2220" s="34">
        <v>20.7575</v>
      </c>
      <c r="G2220" s="31">
        <f t="shared" si="36"/>
        <v>41.515000000000001</v>
      </c>
      <c r="H2220" s="44"/>
      <c r="I2220" s="40"/>
      <c r="J2220" s="156">
        <v>0</v>
      </c>
    </row>
    <row r="2221" spans="1:10" ht="15.75" hidden="1" thickBot="1" x14ac:dyDescent="0.3">
      <c r="A2221" s="222"/>
      <c r="B2221" s="225"/>
      <c r="C2221" s="36" t="s">
        <v>744</v>
      </c>
      <c r="D2221" s="36" t="s">
        <v>96</v>
      </c>
      <c r="E2221" s="37">
        <v>1</v>
      </c>
      <c r="F2221" s="34">
        <v>75.05</v>
      </c>
      <c r="G2221" s="31">
        <f t="shared" si="36"/>
        <v>75.05</v>
      </c>
      <c r="H2221" s="35"/>
      <c r="I2221" s="31"/>
      <c r="J2221" s="156">
        <v>0</v>
      </c>
    </row>
    <row r="2222" spans="1:10" ht="15.75" hidden="1" thickBot="1" x14ac:dyDescent="0.3">
      <c r="A2222" s="223"/>
      <c r="B2222" s="226"/>
      <c r="C2222" s="36"/>
      <c r="D2222" s="36"/>
      <c r="E2222" s="37"/>
      <c r="F2222" s="31" t="s">
        <v>572</v>
      </c>
      <c r="G2222" s="31" t="str">
        <f t="shared" si="36"/>
        <v/>
      </c>
      <c r="H2222" s="35"/>
      <c r="I2222" s="31"/>
      <c r="J2222" s="156">
        <v>0</v>
      </c>
    </row>
    <row r="2223" spans="1:10" ht="15.75" hidden="1" thickBot="1" x14ac:dyDescent="0.3">
      <c r="A2223" s="221" t="s">
        <v>745</v>
      </c>
      <c r="B2223" s="224" t="str">
        <f>INDEX(Orçamentária!A:B,MATCH(Composições!A2223,Orçamentária!A:A,0),2)</f>
        <v>Painel para TV de 120 x 180 cm</v>
      </c>
      <c r="C2223" s="41"/>
      <c r="D2223" s="26" t="str">
        <f>TRIM(INDEX(Orçamentária!C:C,MATCH(Composições!A2223,Orçamentária!A:A,0),1))</f>
        <v>un</v>
      </c>
      <c r="E2223" s="27"/>
      <c r="F2223" s="42" t="s">
        <v>572</v>
      </c>
      <c r="G2223" s="28" t="str">
        <f t="shared" si="36"/>
        <v/>
      </c>
      <c r="H2223" s="29"/>
      <c r="I2223" s="30"/>
      <c r="J2223" s="156">
        <v>0</v>
      </c>
    </row>
    <row r="2224" spans="1:10" ht="15.75" hidden="1" thickBot="1" x14ac:dyDescent="0.3">
      <c r="A2224" s="222"/>
      <c r="B2224" s="225"/>
      <c r="C2224" s="32"/>
      <c r="D2224" s="32"/>
      <c r="E2224" s="33"/>
      <c r="F2224" s="43" t="s">
        <v>572</v>
      </c>
      <c r="G2224" s="31" t="str">
        <f t="shared" si="36"/>
        <v/>
      </c>
      <c r="H2224" s="35"/>
      <c r="I2224" s="31"/>
      <c r="J2224" s="156">
        <v>0</v>
      </c>
    </row>
    <row r="2225" spans="1:10" ht="15.75" hidden="1" thickBot="1" x14ac:dyDescent="0.3">
      <c r="A2225" s="222"/>
      <c r="B2225" s="225"/>
      <c r="C2225" s="36" t="s">
        <v>660</v>
      </c>
      <c r="D2225" s="36" t="s">
        <v>12</v>
      </c>
      <c r="E2225" s="37">
        <v>1</v>
      </c>
      <c r="F2225" s="31">
        <v>22.268000000000001</v>
      </c>
      <c r="G2225" s="34">
        <f t="shared" si="36"/>
        <v>22.268000000000001</v>
      </c>
      <c r="H2225" s="39">
        <f>SUM(G2225:G2227)</f>
        <v>40.736000000000004</v>
      </c>
      <c r="I2225" s="40"/>
      <c r="J2225" s="156">
        <v>0</v>
      </c>
    </row>
    <row r="2226" spans="1:10" ht="15.75" hidden="1" thickBot="1" x14ac:dyDescent="0.3">
      <c r="A2226" s="222"/>
      <c r="B2226" s="225"/>
      <c r="C2226" s="36" t="s">
        <v>132</v>
      </c>
      <c r="D2226" s="36" t="s">
        <v>12</v>
      </c>
      <c r="E2226" s="37">
        <v>1</v>
      </c>
      <c r="F2226" s="31">
        <v>18.468</v>
      </c>
      <c r="G2226" s="34">
        <f t="shared" si="36"/>
        <v>18.468</v>
      </c>
      <c r="H2226" s="44"/>
      <c r="I2226" s="40"/>
      <c r="J2226" s="156">
        <v>0</v>
      </c>
    </row>
    <row r="2227" spans="1:10" ht="15.75" hidden="1" thickBot="1" x14ac:dyDescent="0.3">
      <c r="A2227" s="222"/>
      <c r="B2227" s="225"/>
      <c r="C2227" s="36" t="s">
        <v>746</v>
      </c>
      <c r="D2227" s="36" t="s">
        <v>20</v>
      </c>
      <c r="E2227" s="37">
        <v>1</v>
      </c>
      <c r="F2227" s="34" t="s">
        <v>572</v>
      </c>
      <c r="G2227" s="31" t="str">
        <f t="shared" si="36"/>
        <v/>
      </c>
      <c r="H2227" s="35"/>
      <c r="I2227" s="31"/>
      <c r="J2227" s="156">
        <v>0</v>
      </c>
    </row>
    <row r="2228" spans="1:10" ht="15.75" hidden="1" thickBot="1" x14ac:dyDescent="0.3">
      <c r="A2228" s="223"/>
      <c r="B2228" s="226"/>
      <c r="C2228" s="36"/>
      <c r="D2228" s="36"/>
      <c r="E2228" s="37"/>
      <c r="F2228" s="31" t="s">
        <v>572</v>
      </c>
      <c r="G2228" s="31" t="str">
        <f t="shared" si="36"/>
        <v/>
      </c>
      <c r="H2228" s="35"/>
      <c r="I2228" s="31"/>
      <c r="J2228" s="156">
        <v>0</v>
      </c>
    </row>
    <row r="2229" spans="1:10" ht="15.75" hidden="1" thickBot="1" x14ac:dyDescent="0.3">
      <c r="A2229" s="221" t="s">
        <v>747</v>
      </c>
      <c r="B2229" s="224" t="str">
        <f>INDEX(Orçamentária!A:B,MATCH(Composições!A2229,Orçamentária!A:A,0),2)</f>
        <v>Painel para TV de 160 x 160 cm</v>
      </c>
      <c r="C2229" s="41"/>
      <c r="D2229" s="26" t="str">
        <f>TRIM(INDEX(Orçamentária!C:C,MATCH(Composições!A2229,Orçamentária!A:A,0),1))</f>
        <v>un</v>
      </c>
      <c r="E2229" s="27"/>
      <c r="F2229" s="42" t="s">
        <v>572</v>
      </c>
      <c r="G2229" s="28" t="str">
        <f t="shared" si="36"/>
        <v/>
      </c>
      <c r="H2229" s="29"/>
      <c r="I2229" s="30"/>
      <c r="J2229" s="156">
        <v>0</v>
      </c>
    </row>
    <row r="2230" spans="1:10" ht="15.75" hidden="1" thickBot="1" x14ac:dyDescent="0.3">
      <c r="A2230" s="222"/>
      <c r="B2230" s="225"/>
      <c r="C2230" s="32"/>
      <c r="D2230" s="32"/>
      <c r="E2230" s="33"/>
      <c r="F2230" s="43" t="s">
        <v>572</v>
      </c>
      <c r="G2230" s="31" t="str">
        <f t="shared" si="36"/>
        <v/>
      </c>
      <c r="H2230" s="35"/>
      <c r="I2230" s="31"/>
      <c r="J2230" s="156">
        <v>0</v>
      </c>
    </row>
    <row r="2231" spans="1:10" ht="15.75" hidden="1" thickBot="1" x14ac:dyDescent="0.3">
      <c r="A2231" s="222"/>
      <c r="B2231" s="225"/>
      <c r="C2231" s="36" t="s">
        <v>660</v>
      </c>
      <c r="D2231" s="36" t="s">
        <v>12</v>
      </c>
      <c r="E2231" s="37">
        <v>1</v>
      </c>
      <c r="F2231" s="31">
        <v>22.268000000000001</v>
      </c>
      <c r="G2231" s="34">
        <f t="shared" si="36"/>
        <v>22.268000000000001</v>
      </c>
      <c r="H2231" s="39">
        <f>SUM(G2231:G2233)</f>
        <v>40.736000000000004</v>
      </c>
      <c r="I2231" s="40"/>
      <c r="J2231" s="156">
        <v>0</v>
      </c>
    </row>
    <row r="2232" spans="1:10" ht="15.75" hidden="1" thickBot="1" x14ac:dyDescent="0.3">
      <c r="A2232" s="222"/>
      <c r="B2232" s="225"/>
      <c r="C2232" s="36" t="s">
        <v>132</v>
      </c>
      <c r="D2232" s="36" t="s">
        <v>12</v>
      </c>
      <c r="E2232" s="37">
        <v>1</v>
      </c>
      <c r="F2232" s="31">
        <v>18.468</v>
      </c>
      <c r="G2232" s="34">
        <f t="shared" si="36"/>
        <v>18.468</v>
      </c>
      <c r="H2232" s="35"/>
      <c r="I2232" s="31"/>
      <c r="J2232" s="156">
        <v>0</v>
      </c>
    </row>
    <row r="2233" spans="1:10" ht="26.25" hidden="1" thickBot="1" x14ac:dyDescent="0.3">
      <c r="A2233" s="222"/>
      <c r="B2233" s="225"/>
      <c r="C2233" s="36" t="s">
        <v>748</v>
      </c>
      <c r="D2233" s="36" t="s">
        <v>20</v>
      </c>
      <c r="E2233" s="37">
        <v>1</v>
      </c>
      <c r="F2233" s="34" t="s">
        <v>572</v>
      </c>
      <c r="G2233" s="31" t="str">
        <f t="shared" si="36"/>
        <v/>
      </c>
      <c r="H2233" s="35"/>
      <c r="I2233" s="31"/>
      <c r="J2233" s="156">
        <v>0</v>
      </c>
    </row>
    <row r="2234" spans="1:10" ht="15.75" hidden="1" thickBot="1" x14ac:dyDescent="0.3">
      <c r="A2234" s="223"/>
      <c r="B2234" s="226"/>
      <c r="C2234" s="36"/>
      <c r="D2234" s="36"/>
      <c r="E2234" s="37"/>
      <c r="F2234" s="31" t="s">
        <v>572</v>
      </c>
      <c r="G2234" s="31" t="str">
        <f t="shared" si="36"/>
        <v/>
      </c>
      <c r="H2234" s="35"/>
      <c r="I2234" s="31"/>
      <c r="J2234" s="156">
        <v>0</v>
      </c>
    </row>
    <row r="2235" spans="1:10" ht="15.75" hidden="1" thickBot="1" x14ac:dyDescent="0.3">
      <c r="A2235" s="221" t="s">
        <v>749</v>
      </c>
      <c r="B2235" s="224" t="str">
        <f>INDEX(Orçamentária!A:B,MATCH(Composições!A2235,Orçamentária!A:A,0),2)</f>
        <v>Painel para TV de 90 x 120 cm</v>
      </c>
      <c r="C2235" s="41"/>
      <c r="D2235" s="26" t="str">
        <f>TRIM(INDEX(Orçamentária!C:C,MATCH(Composições!A2235,Orçamentária!A:A,0),1))</f>
        <v>un</v>
      </c>
      <c r="E2235" s="27"/>
      <c r="F2235" s="42" t="s">
        <v>572</v>
      </c>
      <c r="G2235" s="28" t="str">
        <f t="shared" si="36"/>
        <v/>
      </c>
      <c r="H2235" s="29"/>
      <c r="I2235" s="30"/>
      <c r="J2235" s="156">
        <v>0</v>
      </c>
    </row>
    <row r="2236" spans="1:10" ht="15.75" hidden="1" thickBot="1" x14ac:dyDescent="0.3">
      <c r="A2236" s="222"/>
      <c r="B2236" s="225"/>
      <c r="C2236" s="32"/>
      <c r="D2236" s="32"/>
      <c r="E2236" s="33"/>
      <c r="F2236" s="43" t="s">
        <v>572</v>
      </c>
      <c r="G2236" s="31" t="str">
        <f t="shared" si="36"/>
        <v/>
      </c>
      <c r="H2236" s="35"/>
      <c r="I2236" s="31"/>
      <c r="J2236" s="156">
        <v>0</v>
      </c>
    </row>
    <row r="2237" spans="1:10" ht="15.75" hidden="1" thickBot="1" x14ac:dyDescent="0.3">
      <c r="A2237" s="222"/>
      <c r="B2237" s="225"/>
      <c r="C2237" s="36" t="s">
        <v>660</v>
      </c>
      <c r="D2237" s="36" t="s">
        <v>12</v>
      </c>
      <c r="E2237" s="37">
        <v>1</v>
      </c>
      <c r="F2237" s="31">
        <v>22.268000000000001</v>
      </c>
      <c r="G2237" s="34">
        <f t="shared" si="36"/>
        <v>22.268000000000001</v>
      </c>
      <c r="H2237" s="39">
        <f>SUM(G2237:G2239)</f>
        <v>40.736000000000004</v>
      </c>
      <c r="I2237" s="40"/>
      <c r="J2237" s="156">
        <v>0</v>
      </c>
    </row>
    <row r="2238" spans="1:10" ht="15.75" hidden="1" thickBot="1" x14ac:dyDescent="0.3">
      <c r="A2238" s="222"/>
      <c r="B2238" s="225"/>
      <c r="C2238" s="36" t="s">
        <v>132</v>
      </c>
      <c r="D2238" s="36" t="s">
        <v>12</v>
      </c>
      <c r="E2238" s="37">
        <v>1</v>
      </c>
      <c r="F2238" s="31">
        <v>18.468</v>
      </c>
      <c r="G2238" s="34">
        <f t="shared" si="36"/>
        <v>18.468</v>
      </c>
      <c r="H2238" s="35"/>
      <c r="I2238" s="31"/>
      <c r="J2238" s="156">
        <v>0</v>
      </c>
    </row>
    <row r="2239" spans="1:10" ht="26.25" hidden="1" thickBot="1" x14ac:dyDescent="0.3">
      <c r="A2239" s="222"/>
      <c r="B2239" s="225"/>
      <c r="C2239" s="36" t="s">
        <v>750</v>
      </c>
      <c r="D2239" s="36" t="s">
        <v>20</v>
      </c>
      <c r="E2239" s="37">
        <v>1</v>
      </c>
      <c r="F2239" s="34" t="s">
        <v>572</v>
      </c>
      <c r="G2239" s="31" t="str">
        <f t="shared" si="36"/>
        <v/>
      </c>
      <c r="H2239" s="35"/>
      <c r="I2239" s="31"/>
      <c r="J2239" s="156">
        <v>0</v>
      </c>
    </row>
    <row r="2240" spans="1:10" ht="15.75" hidden="1" thickBot="1" x14ac:dyDescent="0.3">
      <c r="A2240" s="223"/>
      <c r="B2240" s="226"/>
      <c r="C2240" s="36"/>
      <c r="D2240" s="36"/>
      <c r="E2240" s="37"/>
      <c r="F2240" s="31" t="s">
        <v>572</v>
      </c>
      <c r="G2240" s="31" t="str">
        <f t="shared" si="36"/>
        <v/>
      </c>
      <c r="H2240" s="35"/>
      <c r="I2240" s="31"/>
      <c r="J2240" s="156">
        <v>0</v>
      </c>
    </row>
    <row r="2241" spans="1:10" ht="15.75" hidden="1" thickBot="1" x14ac:dyDescent="0.3">
      <c r="A2241" s="221" t="s">
        <v>751</v>
      </c>
      <c r="B2241" s="224" t="str">
        <f>INDEX(Orçamentária!A:B,MATCH(Composições!A2241,Orçamentária!A:A,0),2)</f>
        <v>Batentes e guarnições em madeira, com verniz ou esmalte</v>
      </c>
      <c r="C2241" s="41"/>
      <c r="D2241" s="26" t="str">
        <f>TRIM(INDEX(Orçamentária!C:C,MATCH(Composições!A2241,Orçamentária!A:A,0),1))</f>
        <v>un</v>
      </c>
      <c r="E2241" s="27"/>
      <c r="F2241" s="42" t="s">
        <v>572</v>
      </c>
      <c r="G2241" s="28" t="str">
        <f t="shared" si="36"/>
        <v/>
      </c>
      <c r="H2241" s="29"/>
      <c r="I2241" s="30"/>
      <c r="J2241" s="156">
        <v>0</v>
      </c>
    </row>
    <row r="2242" spans="1:10" ht="15.75" hidden="1" thickBot="1" x14ac:dyDescent="0.3">
      <c r="A2242" s="222"/>
      <c r="B2242" s="225"/>
      <c r="C2242" s="32"/>
      <c r="D2242" s="32"/>
      <c r="E2242" s="33"/>
      <c r="F2242" s="43" t="s">
        <v>572</v>
      </c>
      <c r="G2242" s="31" t="str">
        <f t="shared" si="36"/>
        <v/>
      </c>
      <c r="H2242" s="35"/>
      <c r="I2242" s="31"/>
      <c r="J2242" s="156">
        <v>0</v>
      </c>
    </row>
    <row r="2243" spans="1:10" ht="39" hidden="1" thickBot="1" x14ac:dyDescent="0.3">
      <c r="A2243" s="222"/>
      <c r="B2243" s="225"/>
      <c r="C2243" s="36" t="s">
        <v>3443</v>
      </c>
      <c r="D2243" s="47" t="s">
        <v>1542</v>
      </c>
      <c r="E2243" s="37">
        <v>1</v>
      </c>
      <c r="F2243" s="34">
        <v>131.9265</v>
      </c>
      <c r="G2243" s="34">
        <f t="shared" si="36"/>
        <v>131.9265</v>
      </c>
      <c r="H2243" s="39">
        <f>SUM(G2243:G2253)</f>
        <v>263.43557950000002</v>
      </c>
      <c r="I2243" s="40"/>
      <c r="J2243" s="156">
        <v>0</v>
      </c>
    </row>
    <row r="2244" spans="1:10" ht="15.75" hidden="1" thickBot="1" x14ac:dyDescent="0.3">
      <c r="A2244" s="222"/>
      <c r="B2244" s="225"/>
      <c r="C2244" s="36" t="s">
        <v>1543</v>
      </c>
      <c r="D2244" s="50" t="s">
        <v>957</v>
      </c>
      <c r="E2244" s="37">
        <v>1.0999999999999999E-2</v>
      </c>
      <c r="F2244" s="34">
        <v>22.914000000000001</v>
      </c>
      <c r="G2244" s="34">
        <f t="shared" si="36"/>
        <v>0.252054</v>
      </c>
      <c r="H2244" s="35"/>
      <c r="I2244" s="31"/>
      <c r="J2244" s="156">
        <v>0</v>
      </c>
    </row>
    <row r="2245" spans="1:10" ht="15.75" hidden="1" thickBot="1" x14ac:dyDescent="0.3">
      <c r="A2245" s="222"/>
      <c r="B2245" s="225"/>
      <c r="C2245" s="36" t="s">
        <v>101</v>
      </c>
      <c r="D2245" s="47" t="s">
        <v>957</v>
      </c>
      <c r="E2245" s="37">
        <v>2.4E-2</v>
      </c>
      <c r="F2245" s="31">
        <v>17.394499999999997</v>
      </c>
      <c r="G2245" s="34">
        <f t="shared" si="36"/>
        <v>0.41746799999999995</v>
      </c>
      <c r="H2245" s="35"/>
      <c r="I2245" s="31"/>
      <c r="J2245" s="156">
        <v>0</v>
      </c>
    </row>
    <row r="2246" spans="1:10" ht="15.75" hidden="1" thickBot="1" x14ac:dyDescent="0.3">
      <c r="A2246" s="222"/>
      <c r="B2246" s="225"/>
      <c r="C2246" s="36" t="s">
        <v>758</v>
      </c>
      <c r="D2246" s="47" t="s">
        <v>759</v>
      </c>
      <c r="E2246" s="37">
        <f>2.741+0.068</f>
        <v>2.8090000000000002</v>
      </c>
      <c r="F2246" s="31">
        <v>21.916499999999999</v>
      </c>
      <c r="G2246" s="34">
        <f t="shared" si="36"/>
        <v>61.5634485</v>
      </c>
      <c r="H2246" s="35"/>
      <c r="I2246" s="31"/>
      <c r="J2246" s="156">
        <v>0</v>
      </c>
    </row>
    <row r="2247" spans="1:10" ht="15.75" hidden="1" thickBot="1" x14ac:dyDescent="0.3">
      <c r="A2247" s="222"/>
      <c r="B2247" s="225"/>
      <c r="C2247" s="36" t="s">
        <v>760</v>
      </c>
      <c r="D2247" s="47" t="s">
        <v>759</v>
      </c>
      <c r="E2247" s="37">
        <f>1.375+0.034</f>
        <v>1.409</v>
      </c>
      <c r="F2247" s="31">
        <v>16.311500000000002</v>
      </c>
      <c r="G2247" s="34">
        <f t="shared" si="36"/>
        <v>22.982903500000003</v>
      </c>
      <c r="H2247" s="35"/>
      <c r="I2247" s="31"/>
      <c r="J2247" s="156">
        <v>0</v>
      </c>
    </row>
    <row r="2248" spans="1:10" ht="15.75" hidden="1" thickBot="1" x14ac:dyDescent="0.3">
      <c r="A2248" s="222"/>
      <c r="B2248" s="225"/>
      <c r="C2248" s="36" t="s">
        <v>3470</v>
      </c>
      <c r="D2248" s="47" t="s">
        <v>957</v>
      </c>
      <c r="E2248" s="37">
        <v>6.0000000000000001E-3</v>
      </c>
      <c r="F2248" s="31">
        <v>19.560499999999998</v>
      </c>
      <c r="G2248" s="34">
        <f t="shared" si="36"/>
        <v>0.11736299999999998</v>
      </c>
      <c r="H2248" s="35"/>
      <c r="I2248" s="31"/>
      <c r="J2248" s="156">
        <v>0</v>
      </c>
    </row>
    <row r="2249" spans="1:10" ht="39" hidden="1" thickBot="1" x14ac:dyDescent="0.3">
      <c r="A2249" s="222"/>
      <c r="B2249" s="225"/>
      <c r="C2249" s="36" t="s">
        <v>3463</v>
      </c>
      <c r="D2249" s="47" t="s">
        <v>527</v>
      </c>
      <c r="E2249" s="37">
        <f>(2.1*2+0.8)*1.163</f>
        <v>5.8150000000000004</v>
      </c>
      <c r="F2249" s="34">
        <v>6.0419999999999998</v>
      </c>
      <c r="G2249" s="34">
        <f t="shared" si="36"/>
        <v>35.134230000000002</v>
      </c>
      <c r="H2249" s="35"/>
      <c r="I2249" s="31"/>
      <c r="J2249" s="156">
        <v>0</v>
      </c>
    </row>
    <row r="2250" spans="1:10" ht="15.75" hidden="1" thickBot="1" x14ac:dyDescent="0.3">
      <c r="A2250" s="222"/>
      <c r="B2250" s="225"/>
      <c r="C2250" s="36" t="s">
        <v>210</v>
      </c>
      <c r="D2250" s="36" t="s">
        <v>20</v>
      </c>
      <c r="E2250" s="37">
        <f>ROUND(1*0.15*(2*2.1+0.8),4)</f>
        <v>0.75</v>
      </c>
      <c r="F2250" s="34">
        <v>0.61749999999999994</v>
      </c>
      <c r="G2250" s="31">
        <f t="shared" si="36"/>
        <v>0.46312499999999995</v>
      </c>
      <c r="H2250" s="35"/>
      <c r="I2250" s="40"/>
      <c r="J2250" s="156">
        <v>0</v>
      </c>
    </row>
    <row r="2251" spans="1:10" ht="15.75" hidden="1" thickBot="1" x14ac:dyDescent="0.3">
      <c r="A2251" s="222"/>
      <c r="B2251" s="225"/>
      <c r="C2251" s="36" t="s">
        <v>219</v>
      </c>
      <c r="D2251" s="50" t="s">
        <v>105</v>
      </c>
      <c r="E2251" s="37">
        <f>ROUND(0.108*0.15*(2*2.1+0.8),4)</f>
        <v>8.1000000000000003E-2</v>
      </c>
      <c r="F2251" s="34" t="s">
        <v>572</v>
      </c>
      <c r="G2251" s="31" t="str">
        <f t="shared" si="36"/>
        <v/>
      </c>
      <c r="H2251" s="35"/>
      <c r="I2251" s="31"/>
      <c r="J2251" s="156">
        <v>0</v>
      </c>
    </row>
    <row r="2252" spans="1:10" ht="15.75" hidden="1" thickBot="1" x14ac:dyDescent="0.3">
      <c r="A2252" s="222"/>
      <c r="B2252" s="225"/>
      <c r="C2252" s="36" t="s">
        <v>103</v>
      </c>
      <c r="D2252" s="36" t="s">
        <v>12</v>
      </c>
      <c r="E2252" s="37">
        <f>ROUND(0.4*0.15*(2*2.1+0.8),4)</f>
        <v>0.3</v>
      </c>
      <c r="F2252" s="31">
        <v>23.027999999999999</v>
      </c>
      <c r="G2252" s="31">
        <f t="shared" si="36"/>
        <v>6.9083999999999994</v>
      </c>
      <c r="H2252" s="35"/>
      <c r="I2252" s="31"/>
      <c r="J2252" s="156">
        <v>0</v>
      </c>
    </row>
    <row r="2253" spans="1:10" ht="15.75" hidden="1" thickBot="1" x14ac:dyDescent="0.3">
      <c r="A2253" s="222"/>
      <c r="B2253" s="225"/>
      <c r="C2253" s="36" t="s">
        <v>23</v>
      </c>
      <c r="D2253" s="36" t="s">
        <v>12</v>
      </c>
      <c r="E2253" s="37">
        <f>ROUND(0.3*0.15*(2*2.1+0.8),4)</f>
        <v>0.22500000000000001</v>
      </c>
      <c r="F2253" s="31">
        <v>16.311500000000002</v>
      </c>
      <c r="G2253" s="31">
        <f t="shared" si="36"/>
        <v>3.6700875000000006</v>
      </c>
      <c r="H2253" s="35"/>
      <c r="I2253" s="31"/>
      <c r="J2253" s="156">
        <v>0</v>
      </c>
    </row>
    <row r="2254" spans="1:10" ht="15.75" hidden="1" thickBot="1" x14ac:dyDescent="0.3">
      <c r="A2254" s="222"/>
      <c r="B2254" s="225"/>
      <c r="C2254" s="36"/>
      <c r="D2254" s="36"/>
      <c r="E2254" s="37"/>
      <c r="F2254" s="31"/>
      <c r="G2254" s="31"/>
      <c r="H2254" s="35"/>
      <c r="I2254" s="31"/>
      <c r="J2254" s="156">
        <v>0</v>
      </c>
    </row>
    <row r="2255" spans="1:10" ht="15.75" hidden="1" thickBot="1" x14ac:dyDescent="0.3">
      <c r="A2255" s="222"/>
      <c r="B2255" s="225"/>
      <c r="C2255" s="2" t="s">
        <v>3489</v>
      </c>
      <c r="D2255" s="36"/>
      <c r="E2255" s="37"/>
      <c r="F2255" s="31"/>
      <c r="G2255" s="31"/>
      <c r="H2255" s="35"/>
      <c r="I2255" s="31"/>
      <c r="J2255" s="156">
        <v>0</v>
      </c>
    </row>
    <row r="2256" spans="1:10" ht="15.75" hidden="1" thickBot="1" x14ac:dyDescent="0.3">
      <c r="A2256" s="223"/>
      <c r="B2256" s="226"/>
      <c r="C2256" s="36"/>
      <c r="D2256" s="36"/>
      <c r="E2256" s="37"/>
      <c r="F2256" s="31" t="s">
        <v>572</v>
      </c>
      <c r="G2256" s="31" t="str">
        <f t="shared" ref="G2256:G2271" si="37">IF(ISNUMBER(F2256),E2256*F2256,"")</f>
        <v/>
      </c>
      <c r="H2256" s="35"/>
      <c r="I2256" s="31"/>
      <c r="J2256" s="156">
        <v>0</v>
      </c>
    </row>
    <row r="2257" spans="1:10" ht="15.75" hidden="1" thickBot="1" x14ac:dyDescent="0.3">
      <c r="A2257" s="221" t="s">
        <v>753</v>
      </c>
      <c r="B2257" s="224" t="str">
        <f>INDEX(Orçamentária!A:B,MATCH(Composições!A2257,Orçamentária!A:A,0),2)</f>
        <v>Chapa de proteção para porta – Linha Acessibilidade</v>
      </c>
      <c r="C2257" s="149"/>
      <c r="D2257" s="26" t="str">
        <f>TRIM(INDEX(Orçamentária!C:C,MATCH(Composições!A2257,Orçamentária!A:A,0),1))</f>
        <v>m2</v>
      </c>
      <c r="E2257" s="27"/>
      <c r="F2257" s="42" t="s">
        <v>572</v>
      </c>
      <c r="G2257" s="28" t="str">
        <f t="shared" si="37"/>
        <v/>
      </c>
      <c r="H2257" s="29"/>
      <c r="I2257" s="30"/>
      <c r="J2257" s="156">
        <v>0</v>
      </c>
    </row>
    <row r="2258" spans="1:10" ht="15.75" hidden="1" thickBot="1" x14ac:dyDescent="0.3">
      <c r="A2258" s="222"/>
      <c r="B2258" s="225"/>
      <c r="C2258" s="32"/>
      <c r="D2258" s="32"/>
      <c r="E2258" s="33"/>
      <c r="F2258" s="43" t="s">
        <v>572</v>
      </c>
      <c r="G2258" s="31" t="str">
        <f t="shared" si="37"/>
        <v/>
      </c>
      <c r="H2258" s="35"/>
      <c r="I2258" s="31"/>
      <c r="J2258" s="156">
        <v>0</v>
      </c>
    </row>
    <row r="2259" spans="1:10" ht="15.75" hidden="1" thickBot="1" x14ac:dyDescent="0.3">
      <c r="A2259" s="222"/>
      <c r="B2259" s="225"/>
      <c r="C2259" s="36" t="s">
        <v>23</v>
      </c>
      <c r="D2259" s="36" t="s">
        <v>12</v>
      </c>
      <c r="E2259" s="37">
        <v>0.3</v>
      </c>
      <c r="F2259" s="31">
        <v>16.311500000000002</v>
      </c>
      <c r="G2259" s="34">
        <f t="shared" si="37"/>
        <v>4.8934500000000005</v>
      </c>
      <c r="H2259" s="39">
        <f>SUM(G2259:G2261)</f>
        <v>11.57385</v>
      </c>
      <c r="I2259" s="40"/>
      <c r="J2259" s="156">
        <v>0</v>
      </c>
    </row>
    <row r="2260" spans="1:10" ht="15.75" hidden="1" thickBot="1" x14ac:dyDescent="0.3">
      <c r="A2260" s="222"/>
      <c r="B2260" s="225"/>
      <c r="C2260" s="36" t="s">
        <v>660</v>
      </c>
      <c r="D2260" s="36" t="s">
        <v>12</v>
      </c>
      <c r="E2260" s="37">
        <v>0.3</v>
      </c>
      <c r="F2260" s="31">
        <v>22.268000000000001</v>
      </c>
      <c r="G2260" s="34">
        <f t="shared" si="37"/>
        <v>6.6803999999999997</v>
      </c>
      <c r="H2260" s="45"/>
      <c r="I2260" s="46"/>
      <c r="J2260" s="156">
        <v>0</v>
      </c>
    </row>
    <row r="2261" spans="1:10" ht="26.25" hidden="1" thickBot="1" x14ac:dyDescent="0.3">
      <c r="A2261" s="222"/>
      <c r="B2261" s="225"/>
      <c r="C2261" s="36" t="s">
        <v>754</v>
      </c>
      <c r="D2261" s="47" t="s">
        <v>96</v>
      </c>
      <c r="E2261" s="37">
        <v>1</v>
      </c>
      <c r="F2261" s="34" t="s">
        <v>572</v>
      </c>
      <c r="G2261" s="34" t="str">
        <f t="shared" si="37"/>
        <v/>
      </c>
      <c r="H2261" s="35"/>
      <c r="I2261" s="31"/>
      <c r="J2261" s="156">
        <v>0</v>
      </c>
    </row>
    <row r="2262" spans="1:10" ht="15.75" hidden="1" thickBot="1" x14ac:dyDescent="0.3">
      <c r="A2262" s="223"/>
      <c r="B2262" s="226"/>
      <c r="C2262" s="36"/>
      <c r="D2262" s="36"/>
      <c r="E2262" s="37"/>
      <c r="F2262" s="31" t="s">
        <v>572</v>
      </c>
      <c r="G2262" s="31" t="str">
        <f t="shared" si="37"/>
        <v/>
      </c>
      <c r="H2262" s="35"/>
      <c r="I2262" s="31"/>
      <c r="J2262" s="156">
        <v>0</v>
      </c>
    </row>
    <row r="2263" spans="1:10" ht="15.75" hidden="1" thickBot="1" x14ac:dyDescent="0.3">
      <c r="A2263" s="230" t="s">
        <v>755</v>
      </c>
      <c r="B2263" s="232" t="str">
        <f>INDEX(Orçamentária!A:B,MATCH(Composições!A2263,Orçamentária!A:A,0),2)</f>
        <v>Folha de porta em madeira 2,10x0,60m, pintada</v>
      </c>
      <c r="C2263" s="41"/>
      <c r="D2263" s="26" t="str">
        <f>TRIM(INDEX(Orçamentária!C:C,MATCH(Composições!A2263,Orçamentária!A:A,0),1))</f>
        <v>un</v>
      </c>
      <c r="E2263" s="27"/>
      <c r="F2263" s="42" t="s">
        <v>572</v>
      </c>
      <c r="G2263" s="28" t="str">
        <f t="shared" si="37"/>
        <v/>
      </c>
      <c r="H2263" s="29"/>
      <c r="I2263" s="30"/>
      <c r="J2263" s="156">
        <v>0</v>
      </c>
    </row>
    <row r="2264" spans="1:10" ht="15.75" hidden="1" thickBot="1" x14ac:dyDescent="0.3">
      <c r="A2264" s="231"/>
      <c r="B2264" s="233"/>
      <c r="C2264" s="32"/>
      <c r="D2264" s="32"/>
      <c r="E2264" s="33"/>
      <c r="F2264" s="43" t="s">
        <v>572</v>
      </c>
      <c r="G2264" s="31" t="str">
        <f t="shared" si="37"/>
        <v/>
      </c>
      <c r="H2264" s="35"/>
      <c r="I2264" s="31"/>
      <c r="J2264" s="156">
        <v>0</v>
      </c>
    </row>
    <row r="2265" spans="1:10" ht="51.75" hidden="1" thickBot="1" x14ac:dyDescent="0.3">
      <c r="A2265" s="231"/>
      <c r="B2265" s="233"/>
      <c r="C2265" s="36" t="s">
        <v>3820</v>
      </c>
      <c r="D2265" s="47" t="s">
        <v>299</v>
      </c>
      <c r="E2265" s="37">
        <v>1</v>
      </c>
      <c r="F2265" s="34">
        <v>155.06849999999997</v>
      </c>
      <c r="G2265" s="34">
        <f t="shared" si="37"/>
        <v>155.06849999999997</v>
      </c>
      <c r="H2265" s="39">
        <f>SUM(G2265:G2271)</f>
        <v>223.01041759999995</v>
      </c>
      <c r="I2265" s="40"/>
      <c r="J2265" s="156">
        <v>0</v>
      </c>
    </row>
    <row r="2266" spans="1:10" ht="15.75" hidden="1" thickBot="1" x14ac:dyDescent="0.3">
      <c r="A2266" s="231"/>
      <c r="B2266" s="233"/>
      <c r="C2266" s="36" t="s">
        <v>758</v>
      </c>
      <c r="D2266" s="47" t="s">
        <v>759</v>
      </c>
      <c r="E2266" s="37">
        <f>ROUND(1.282*0.8,4)</f>
        <v>1.0256000000000001</v>
      </c>
      <c r="F2266" s="31">
        <v>21.916499999999999</v>
      </c>
      <c r="G2266" s="34">
        <f t="shared" si="37"/>
        <v>22.4775624</v>
      </c>
      <c r="H2266" s="35"/>
      <c r="I2266" s="31"/>
      <c r="J2266" s="156">
        <v>0</v>
      </c>
    </row>
    <row r="2267" spans="1:10" ht="15.75" hidden="1" thickBot="1" x14ac:dyDescent="0.3">
      <c r="A2267" s="231"/>
      <c r="B2267" s="233"/>
      <c r="C2267" s="36" t="s">
        <v>760</v>
      </c>
      <c r="D2267" s="47" t="s">
        <v>759</v>
      </c>
      <c r="E2267" s="37">
        <f>ROUND(0.641*0.8,4)</f>
        <v>0.51280000000000003</v>
      </c>
      <c r="F2267" s="31">
        <v>16.311500000000002</v>
      </c>
      <c r="G2267" s="34">
        <f t="shared" si="37"/>
        <v>8.3645372000000009</v>
      </c>
      <c r="H2267" s="35"/>
      <c r="I2267" s="31"/>
      <c r="J2267" s="156">
        <v>0</v>
      </c>
    </row>
    <row r="2268" spans="1:10" ht="15.75" hidden="1" thickBot="1" x14ac:dyDescent="0.3">
      <c r="A2268" s="231"/>
      <c r="B2268" s="233"/>
      <c r="C2268" s="36" t="s">
        <v>210</v>
      </c>
      <c r="D2268" s="36" t="s">
        <v>20</v>
      </c>
      <c r="E2268" s="37">
        <f>ROUND(1*(2*0.6*2.1),4)</f>
        <v>2.52</v>
      </c>
      <c r="F2268" s="34">
        <v>0.61749999999999994</v>
      </c>
      <c r="G2268" s="31">
        <f t="shared" si="37"/>
        <v>1.5560999999999998</v>
      </c>
      <c r="H2268" s="35"/>
      <c r="I2268" s="40"/>
      <c r="J2268" s="156">
        <v>0</v>
      </c>
    </row>
    <row r="2269" spans="1:10" ht="15.75" hidden="1" thickBot="1" x14ac:dyDescent="0.3">
      <c r="A2269" s="231"/>
      <c r="B2269" s="233"/>
      <c r="C2269" s="36" t="s">
        <v>219</v>
      </c>
      <c r="D2269" s="50" t="s">
        <v>105</v>
      </c>
      <c r="E2269" s="37">
        <f>ROUND(0.108*(2*0.6*2.1),4)</f>
        <v>0.2722</v>
      </c>
      <c r="F2269" s="34" t="s">
        <v>572</v>
      </c>
      <c r="G2269" s="31" t="str">
        <f t="shared" si="37"/>
        <v/>
      </c>
      <c r="H2269" s="35"/>
      <c r="I2269" s="31"/>
      <c r="J2269" s="156">
        <v>0</v>
      </c>
    </row>
    <row r="2270" spans="1:10" ht="15.75" hidden="1" thickBot="1" x14ac:dyDescent="0.3">
      <c r="A2270" s="231"/>
      <c r="B2270" s="233"/>
      <c r="C2270" s="36" t="s">
        <v>103</v>
      </c>
      <c r="D2270" s="36" t="s">
        <v>12</v>
      </c>
      <c r="E2270" s="37">
        <f>ROUND(0.4*(2*0.6*2.1),4)</f>
        <v>1.008</v>
      </c>
      <c r="F2270" s="31">
        <v>23.027999999999999</v>
      </c>
      <c r="G2270" s="31">
        <f t="shared" si="37"/>
        <v>23.212223999999999</v>
      </c>
      <c r="H2270" s="35"/>
      <c r="I2270" s="31"/>
      <c r="J2270" s="156">
        <v>0</v>
      </c>
    </row>
    <row r="2271" spans="1:10" ht="15.75" hidden="1" thickBot="1" x14ac:dyDescent="0.3">
      <c r="A2271" s="231"/>
      <c r="B2271" s="233"/>
      <c r="C2271" s="36" t="s">
        <v>23</v>
      </c>
      <c r="D2271" s="36" t="s">
        <v>12</v>
      </c>
      <c r="E2271" s="37">
        <f>ROUND(0.3*(2*0.6*2.1),4)</f>
        <v>0.75600000000000001</v>
      </c>
      <c r="F2271" s="31">
        <v>16.311500000000002</v>
      </c>
      <c r="G2271" s="31">
        <f t="shared" si="37"/>
        <v>12.331494000000001</v>
      </c>
      <c r="H2271" s="35"/>
      <c r="I2271" s="31"/>
      <c r="J2271" s="156">
        <v>0</v>
      </c>
    </row>
    <row r="2272" spans="1:10" ht="15.75" hidden="1" thickBot="1" x14ac:dyDescent="0.3">
      <c r="A2272" s="231"/>
      <c r="B2272" s="233"/>
      <c r="C2272" s="36"/>
      <c r="D2272" s="36"/>
      <c r="E2272" s="37"/>
      <c r="F2272" s="31"/>
      <c r="G2272" s="31"/>
      <c r="H2272" s="35"/>
      <c r="I2272" s="31"/>
      <c r="J2272" s="156">
        <v>0</v>
      </c>
    </row>
    <row r="2273" spans="1:10" ht="15.75" hidden="1" thickBot="1" x14ac:dyDescent="0.3">
      <c r="A2273" s="231"/>
      <c r="B2273" s="233"/>
      <c r="C2273" s="2" t="s">
        <v>3489</v>
      </c>
      <c r="D2273" s="36"/>
      <c r="E2273" s="37"/>
      <c r="F2273" s="31"/>
      <c r="G2273" s="31"/>
      <c r="H2273" s="35"/>
      <c r="I2273" s="31"/>
      <c r="J2273" s="156">
        <v>0</v>
      </c>
    </row>
    <row r="2274" spans="1:10" ht="15.75" hidden="1" thickBot="1" x14ac:dyDescent="0.3">
      <c r="A2274" s="231"/>
      <c r="B2274" s="233"/>
      <c r="C2274" s="36"/>
      <c r="D2274" s="47"/>
      <c r="E2274" s="37"/>
      <c r="F2274" s="34" t="s">
        <v>572</v>
      </c>
      <c r="G2274" s="34" t="str">
        <f t="shared" ref="G2274:G2283" si="38">IF(ISNUMBER(F2274),E2274*F2274,"")</f>
        <v/>
      </c>
      <c r="H2274" s="35"/>
      <c r="I2274" s="31"/>
      <c r="J2274" s="156">
        <v>0</v>
      </c>
    </row>
    <row r="2275" spans="1:10" ht="15.75" hidden="1" thickBot="1" x14ac:dyDescent="0.3">
      <c r="A2275" s="230" t="s">
        <v>761</v>
      </c>
      <c r="B2275" s="232" t="str">
        <f>INDEX(Orçamentária!A:B,MATCH(Composições!A2275,Orçamentária!A:A,0),2)</f>
        <v>Folha de porta em madeira 2,10x0,70m, pintada</v>
      </c>
      <c r="C2275" s="41"/>
      <c r="D2275" s="26" t="str">
        <f>TRIM(INDEX(Orçamentária!C:C,MATCH(Composições!A2275,Orçamentária!A:A,0),1))</f>
        <v>un</v>
      </c>
      <c r="E2275" s="27"/>
      <c r="F2275" s="42" t="s">
        <v>572</v>
      </c>
      <c r="G2275" s="28" t="str">
        <f t="shared" si="38"/>
        <v/>
      </c>
      <c r="H2275" s="29"/>
      <c r="I2275" s="30"/>
      <c r="J2275" s="156">
        <v>0</v>
      </c>
    </row>
    <row r="2276" spans="1:10" ht="15.75" hidden="1" thickBot="1" x14ac:dyDescent="0.3">
      <c r="A2276" s="231"/>
      <c r="B2276" s="233"/>
      <c r="C2276" s="32"/>
      <c r="D2276" s="32"/>
      <c r="E2276" s="33"/>
      <c r="F2276" s="43" t="s">
        <v>572</v>
      </c>
      <c r="G2276" s="31" t="str">
        <f t="shared" si="38"/>
        <v/>
      </c>
      <c r="H2276" s="35"/>
      <c r="I2276" s="31"/>
      <c r="J2276" s="156">
        <v>0</v>
      </c>
    </row>
    <row r="2277" spans="1:10" ht="51.75" hidden="1" thickBot="1" x14ac:dyDescent="0.3">
      <c r="A2277" s="231"/>
      <c r="B2277" s="233"/>
      <c r="C2277" s="36" t="s">
        <v>3815</v>
      </c>
      <c r="D2277" s="47" t="s">
        <v>299</v>
      </c>
      <c r="E2277" s="37">
        <v>1</v>
      </c>
      <c r="F2277" s="34">
        <v>156.75</v>
      </c>
      <c r="G2277" s="34">
        <f t="shared" si="38"/>
        <v>156.75</v>
      </c>
      <c r="H2277" s="39">
        <f>SUM(G2277:G2283)</f>
        <v>234.05085020000001</v>
      </c>
      <c r="I2277" s="40"/>
      <c r="J2277" s="156">
        <v>0</v>
      </c>
    </row>
    <row r="2278" spans="1:10" ht="15.75" hidden="1" thickBot="1" x14ac:dyDescent="0.3">
      <c r="A2278" s="231"/>
      <c r="B2278" s="233"/>
      <c r="C2278" s="36" t="s">
        <v>758</v>
      </c>
      <c r="D2278" s="47" t="s">
        <v>759</v>
      </c>
      <c r="E2278" s="37">
        <f>ROUND(1.414*0.8,4)</f>
        <v>1.1312</v>
      </c>
      <c r="F2278" s="31">
        <v>21.916499999999999</v>
      </c>
      <c r="G2278" s="34">
        <f t="shared" si="38"/>
        <v>24.7919448</v>
      </c>
      <c r="H2278" s="35"/>
      <c r="I2278" s="31"/>
      <c r="J2278" s="156">
        <v>0</v>
      </c>
    </row>
    <row r="2279" spans="1:10" ht="15.75" hidden="1" thickBot="1" x14ac:dyDescent="0.3">
      <c r="A2279" s="231"/>
      <c r="B2279" s="233"/>
      <c r="C2279" s="36" t="s">
        <v>760</v>
      </c>
      <c r="D2279" s="47" t="s">
        <v>759</v>
      </c>
      <c r="E2279" s="37">
        <f>ROUND(0.707*0.8,4)</f>
        <v>0.56559999999999999</v>
      </c>
      <c r="F2279" s="31">
        <v>16.311500000000002</v>
      </c>
      <c r="G2279" s="34">
        <f t="shared" si="38"/>
        <v>9.225784400000002</v>
      </c>
      <c r="H2279" s="35"/>
      <c r="I2279" s="31"/>
      <c r="J2279" s="156">
        <v>0</v>
      </c>
    </row>
    <row r="2280" spans="1:10" ht="15.75" hidden="1" thickBot="1" x14ac:dyDescent="0.3">
      <c r="A2280" s="231"/>
      <c r="B2280" s="233"/>
      <c r="C2280" s="36" t="s">
        <v>210</v>
      </c>
      <c r="D2280" s="36" t="s">
        <v>20</v>
      </c>
      <c r="E2280" s="37">
        <f>ROUND(1*(2*0.7*2.1),4)</f>
        <v>2.94</v>
      </c>
      <c r="F2280" s="34">
        <v>0.61749999999999994</v>
      </c>
      <c r="G2280" s="31">
        <f t="shared" si="38"/>
        <v>1.8154499999999998</v>
      </c>
      <c r="H2280" s="35"/>
      <c r="I2280" s="40"/>
      <c r="J2280" s="156">
        <v>0</v>
      </c>
    </row>
    <row r="2281" spans="1:10" ht="15.75" hidden="1" thickBot="1" x14ac:dyDescent="0.3">
      <c r="A2281" s="231"/>
      <c r="B2281" s="233"/>
      <c r="C2281" s="36" t="s">
        <v>219</v>
      </c>
      <c r="D2281" s="50" t="s">
        <v>105</v>
      </c>
      <c r="E2281" s="37">
        <f>ROUND(0.108*(2*0.7*2.1),4)</f>
        <v>0.3175</v>
      </c>
      <c r="F2281" s="34" t="s">
        <v>572</v>
      </c>
      <c r="G2281" s="31" t="str">
        <f t="shared" si="38"/>
        <v/>
      </c>
      <c r="H2281" s="35"/>
      <c r="I2281" s="31"/>
      <c r="J2281" s="156">
        <v>0</v>
      </c>
    </row>
    <row r="2282" spans="1:10" ht="15.75" hidden="1" thickBot="1" x14ac:dyDescent="0.3">
      <c r="A2282" s="231"/>
      <c r="B2282" s="233"/>
      <c r="C2282" s="36" t="s">
        <v>103</v>
      </c>
      <c r="D2282" s="36" t="s">
        <v>12</v>
      </c>
      <c r="E2282" s="37">
        <f>ROUND(0.4*(2*0.7*2.1),4)</f>
        <v>1.1759999999999999</v>
      </c>
      <c r="F2282" s="31">
        <v>23.027999999999999</v>
      </c>
      <c r="G2282" s="31">
        <f t="shared" si="38"/>
        <v>27.080927999999997</v>
      </c>
      <c r="H2282" s="35"/>
      <c r="I2282" s="31"/>
      <c r="J2282" s="156">
        <v>0</v>
      </c>
    </row>
    <row r="2283" spans="1:10" ht="15.75" hidden="1" thickBot="1" x14ac:dyDescent="0.3">
      <c r="A2283" s="231"/>
      <c r="B2283" s="233"/>
      <c r="C2283" s="36" t="s">
        <v>23</v>
      </c>
      <c r="D2283" s="36" t="s">
        <v>12</v>
      </c>
      <c r="E2283" s="37">
        <f>ROUND(0.3*(2*0.7*2.1),4)</f>
        <v>0.88200000000000001</v>
      </c>
      <c r="F2283" s="31">
        <v>16.311500000000002</v>
      </c>
      <c r="G2283" s="31">
        <f t="shared" si="38"/>
        <v>14.386743000000003</v>
      </c>
      <c r="H2283" s="35"/>
      <c r="I2283" s="31"/>
      <c r="J2283" s="156">
        <v>0</v>
      </c>
    </row>
    <row r="2284" spans="1:10" ht="15.75" hidden="1" thickBot="1" x14ac:dyDescent="0.3">
      <c r="A2284" s="231"/>
      <c r="B2284" s="233"/>
      <c r="C2284" s="36"/>
      <c r="D2284" s="36"/>
      <c r="E2284" s="37"/>
      <c r="F2284" s="31"/>
      <c r="G2284" s="31"/>
      <c r="H2284" s="35"/>
      <c r="I2284" s="31"/>
      <c r="J2284" s="156">
        <v>0</v>
      </c>
    </row>
    <row r="2285" spans="1:10" ht="15.75" hidden="1" thickBot="1" x14ac:dyDescent="0.3">
      <c r="A2285" s="231"/>
      <c r="B2285" s="233"/>
      <c r="C2285" s="2" t="s">
        <v>3489</v>
      </c>
      <c r="D2285" s="36"/>
      <c r="E2285" s="37"/>
      <c r="F2285" s="31"/>
      <c r="G2285" s="31"/>
      <c r="H2285" s="35"/>
      <c r="I2285" s="31"/>
      <c r="J2285" s="156">
        <v>0</v>
      </c>
    </row>
    <row r="2286" spans="1:10" ht="15.75" hidden="1" thickBot="1" x14ac:dyDescent="0.3">
      <c r="A2286" s="231"/>
      <c r="B2286" s="233"/>
      <c r="C2286" s="36"/>
      <c r="D2286" s="47"/>
      <c r="E2286" s="37"/>
      <c r="F2286" s="34" t="s">
        <v>572</v>
      </c>
      <c r="G2286" s="34" t="str">
        <f t="shared" ref="G2286:G2295" si="39">IF(ISNUMBER(F2286),E2286*F2286,"")</f>
        <v/>
      </c>
      <c r="H2286" s="35"/>
      <c r="I2286" s="31"/>
      <c r="J2286" s="156">
        <v>0</v>
      </c>
    </row>
    <row r="2287" spans="1:10" ht="15.75" hidden="1" thickBot="1" x14ac:dyDescent="0.3">
      <c r="A2287" s="230" t="s">
        <v>762</v>
      </c>
      <c r="B2287" s="232" t="str">
        <f>INDEX(Orçamentária!A:B,MATCH(Composições!A2287,Orçamentária!A:A,0),2)</f>
        <v>Folha de porta em madeira 2,10x0,80m, pintada</v>
      </c>
      <c r="C2287" s="41"/>
      <c r="D2287" s="26" t="str">
        <f>TRIM(INDEX(Orçamentária!C:C,MATCH(Composições!A2287,Orçamentária!A:A,0),1))</f>
        <v>un</v>
      </c>
      <c r="E2287" s="27"/>
      <c r="F2287" s="42" t="s">
        <v>572</v>
      </c>
      <c r="G2287" s="28" t="str">
        <f t="shared" si="39"/>
        <v/>
      </c>
      <c r="H2287" s="29"/>
      <c r="I2287" s="30"/>
      <c r="J2287" s="156">
        <v>0</v>
      </c>
    </row>
    <row r="2288" spans="1:10" ht="15.75" hidden="1" thickBot="1" x14ac:dyDescent="0.3">
      <c r="A2288" s="231"/>
      <c r="B2288" s="233"/>
      <c r="C2288" s="32"/>
      <c r="D2288" s="32"/>
      <c r="E2288" s="33"/>
      <c r="F2288" s="43" t="s">
        <v>572</v>
      </c>
      <c r="G2288" s="31" t="str">
        <f t="shared" si="39"/>
        <v/>
      </c>
      <c r="H2288" s="35"/>
      <c r="I2288" s="31"/>
      <c r="J2288" s="156">
        <v>0</v>
      </c>
    </row>
    <row r="2289" spans="1:10" ht="51.75" hidden="1" thickBot="1" x14ac:dyDescent="0.3">
      <c r="A2289" s="231"/>
      <c r="B2289" s="233"/>
      <c r="C2289" s="36" t="s">
        <v>3817</v>
      </c>
      <c r="D2289" s="47" t="s">
        <v>299</v>
      </c>
      <c r="E2289" s="37">
        <v>1</v>
      </c>
      <c r="F2289" s="34">
        <v>194.2465</v>
      </c>
      <c r="G2289" s="34">
        <f t="shared" si="39"/>
        <v>194.2465</v>
      </c>
      <c r="H2289" s="39">
        <f>SUM(G2289:G2295)</f>
        <v>280.90628279999999</v>
      </c>
      <c r="I2289" s="40"/>
      <c r="J2289" s="156">
        <v>0</v>
      </c>
    </row>
    <row r="2290" spans="1:10" ht="15.75" hidden="1" thickBot="1" x14ac:dyDescent="0.3">
      <c r="A2290" s="231"/>
      <c r="B2290" s="233"/>
      <c r="C2290" s="36" t="s">
        <v>758</v>
      </c>
      <c r="D2290" s="47" t="s">
        <v>759</v>
      </c>
      <c r="E2290" s="37">
        <f>ROUND(1.546*0.8,4)</f>
        <v>1.2367999999999999</v>
      </c>
      <c r="F2290" s="31">
        <v>21.916499999999999</v>
      </c>
      <c r="G2290" s="34">
        <f t="shared" si="39"/>
        <v>27.106327199999996</v>
      </c>
      <c r="H2290" s="35"/>
      <c r="I2290" s="31"/>
      <c r="J2290" s="156">
        <v>0</v>
      </c>
    </row>
    <row r="2291" spans="1:10" ht="15.75" hidden="1" thickBot="1" x14ac:dyDescent="0.3">
      <c r="A2291" s="231"/>
      <c r="B2291" s="233"/>
      <c r="C2291" s="36" t="s">
        <v>760</v>
      </c>
      <c r="D2291" s="47" t="s">
        <v>759</v>
      </c>
      <c r="E2291" s="37">
        <f>ROUND(0.773*0.8,4)</f>
        <v>0.61839999999999995</v>
      </c>
      <c r="F2291" s="31">
        <v>16.311500000000002</v>
      </c>
      <c r="G2291" s="34">
        <f t="shared" si="39"/>
        <v>10.087031600000001</v>
      </c>
      <c r="H2291" s="35"/>
      <c r="I2291" s="31"/>
      <c r="J2291" s="156">
        <v>0</v>
      </c>
    </row>
    <row r="2292" spans="1:10" ht="15.75" hidden="1" thickBot="1" x14ac:dyDescent="0.3">
      <c r="A2292" s="231"/>
      <c r="B2292" s="233"/>
      <c r="C2292" s="36" t="s">
        <v>210</v>
      </c>
      <c r="D2292" s="36" t="s">
        <v>20</v>
      </c>
      <c r="E2292" s="37">
        <f>ROUND(1*(2*0.8*2.1),4)</f>
        <v>3.36</v>
      </c>
      <c r="F2292" s="34">
        <v>0.61749999999999994</v>
      </c>
      <c r="G2292" s="31">
        <f t="shared" si="39"/>
        <v>2.0747999999999998</v>
      </c>
      <c r="H2292" s="35"/>
      <c r="I2292" s="40"/>
      <c r="J2292" s="156">
        <v>0</v>
      </c>
    </row>
    <row r="2293" spans="1:10" ht="15.75" hidden="1" thickBot="1" x14ac:dyDescent="0.3">
      <c r="A2293" s="231"/>
      <c r="B2293" s="233"/>
      <c r="C2293" s="36" t="s">
        <v>219</v>
      </c>
      <c r="D2293" s="50" t="s">
        <v>105</v>
      </c>
      <c r="E2293" s="37">
        <f>ROUND(0.108*(2*0.8*2.1),4)</f>
        <v>0.3629</v>
      </c>
      <c r="F2293" s="34" t="s">
        <v>572</v>
      </c>
      <c r="G2293" s="31" t="str">
        <f t="shared" si="39"/>
        <v/>
      </c>
      <c r="H2293" s="35"/>
      <c r="I2293" s="31"/>
      <c r="J2293" s="156">
        <v>0</v>
      </c>
    </row>
    <row r="2294" spans="1:10" ht="15.75" hidden="1" thickBot="1" x14ac:dyDescent="0.3">
      <c r="A2294" s="231"/>
      <c r="B2294" s="233"/>
      <c r="C2294" s="36" t="s">
        <v>103</v>
      </c>
      <c r="D2294" s="36" t="s">
        <v>12</v>
      </c>
      <c r="E2294" s="37">
        <f>ROUND(0.4*(2*0.8*2.1),4)</f>
        <v>1.3440000000000001</v>
      </c>
      <c r="F2294" s="31">
        <v>23.027999999999999</v>
      </c>
      <c r="G2294" s="31">
        <f t="shared" si="39"/>
        <v>30.949632000000001</v>
      </c>
      <c r="H2294" s="35"/>
      <c r="I2294" s="31"/>
      <c r="J2294" s="156">
        <v>0</v>
      </c>
    </row>
    <row r="2295" spans="1:10" ht="15.75" hidden="1" thickBot="1" x14ac:dyDescent="0.3">
      <c r="A2295" s="231"/>
      <c r="B2295" s="233"/>
      <c r="C2295" s="36" t="s">
        <v>23</v>
      </c>
      <c r="D2295" s="36" t="s">
        <v>12</v>
      </c>
      <c r="E2295" s="37">
        <f>ROUND(0.3*(2*0.8*2.1),4)</f>
        <v>1.008</v>
      </c>
      <c r="F2295" s="31">
        <v>16.311500000000002</v>
      </c>
      <c r="G2295" s="31">
        <f t="shared" si="39"/>
        <v>16.441992000000003</v>
      </c>
      <c r="H2295" s="35"/>
      <c r="I2295" s="31"/>
      <c r="J2295" s="156">
        <v>0</v>
      </c>
    </row>
    <row r="2296" spans="1:10" ht="15.75" hidden="1" thickBot="1" x14ac:dyDescent="0.3">
      <c r="A2296" s="231"/>
      <c r="B2296" s="233"/>
      <c r="C2296" s="36"/>
      <c r="D2296" s="36"/>
      <c r="E2296" s="37"/>
      <c r="F2296" s="31"/>
      <c r="G2296" s="31"/>
      <c r="H2296" s="35"/>
      <c r="I2296" s="31"/>
      <c r="J2296" s="156">
        <v>0</v>
      </c>
    </row>
    <row r="2297" spans="1:10" ht="15.75" hidden="1" thickBot="1" x14ac:dyDescent="0.3">
      <c r="A2297" s="231"/>
      <c r="B2297" s="233"/>
      <c r="C2297" s="2" t="s">
        <v>3489</v>
      </c>
      <c r="D2297" s="36"/>
      <c r="E2297" s="37"/>
      <c r="F2297" s="31"/>
      <c r="G2297" s="31"/>
      <c r="H2297" s="35"/>
      <c r="I2297" s="31"/>
      <c r="J2297" s="156">
        <v>0</v>
      </c>
    </row>
    <row r="2298" spans="1:10" ht="15.75" hidden="1" thickBot="1" x14ac:dyDescent="0.3">
      <c r="A2298" s="231"/>
      <c r="B2298" s="233"/>
      <c r="C2298" s="36"/>
      <c r="D2298" s="47"/>
      <c r="E2298" s="37"/>
      <c r="F2298" s="34" t="s">
        <v>572</v>
      </c>
      <c r="G2298" s="34" t="str">
        <f t="shared" ref="G2298:G2307" si="40">IF(ISNUMBER(F2298),E2298*F2298,"")</f>
        <v/>
      </c>
      <c r="H2298" s="35"/>
      <c r="I2298" s="31"/>
      <c r="J2298" s="156">
        <v>0</v>
      </c>
    </row>
    <row r="2299" spans="1:10" ht="15.75" hidden="1" thickBot="1" x14ac:dyDescent="0.3">
      <c r="A2299" s="230" t="s">
        <v>763</v>
      </c>
      <c r="B2299" s="232" t="str">
        <f>INDEX(Orçamentária!A:B,MATCH(Composições!A2299,Orçamentária!A:A,0),2)</f>
        <v>Folha de porta em madeira 2,10x0,90m, pintada</v>
      </c>
      <c r="C2299" s="41"/>
      <c r="D2299" s="26" t="str">
        <f>TRIM(INDEX(Orçamentária!C:C,MATCH(Composições!A2299,Orçamentária!A:A,0),1))</f>
        <v>un</v>
      </c>
      <c r="E2299" s="27"/>
      <c r="F2299" s="42" t="s">
        <v>572</v>
      </c>
      <c r="G2299" s="28" t="str">
        <f t="shared" si="40"/>
        <v/>
      </c>
      <c r="H2299" s="29"/>
      <c r="I2299" s="30"/>
      <c r="J2299" s="156">
        <v>0</v>
      </c>
    </row>
    <row r="2300" spans="1:10" ht="15.75" hidden="1" thickBot="1" x14ac:dyDescent="0.3">
      <c r="A2300" s="231"/>
      <c r="B2300" s="233"/>
      <c r="C2300" s="32"/>
      <c r="D2300" s="32"/>
      <c r="E2300" s="33"/>
      <c r="F2300" s="43" t="s">
        <v>572</v>
      </c>
      <c r="G2300" s="31" t="str">
        <f t="shared" si="40"/>
        <v/>
      </c>
      <c r="H2300" s="35"/>
      <c r="I2300" s="31"/>
      <c r="J2300" s="156">
        <v>0</v>
      </c>
    </row>
    <row r="2301" spans="1:10" ht="51.75" hidden="1" thickBot="1" x14ac:dyDescent="0.3">
      <c r="A2301" s="231"/>
      <c r="B2301" s="233"/>
      <c r="C2301" s="36" t="s">
        <v>3818</v>
      </c>
      <c r="D2301" s="47" t="s">
        <v>299</v>
      </c>
      <c r="E2301" s="37">
        <v>1</v>
      </c>
      <c r="F2301" s="34">
        <v>222.23349999999999</v>
      </c>
      <c r="G2301" s="34">
        <f t="shared" si="40"/>
        <v>222.23349999999999</v>
      </c>
      <c r="H2301" s="39">
        <f>SUM(G2301:G2307)</f>
        <v>318.25221540000007</v>
      </c>
      <c r="I2301" s="40"/>
      <c r="J2301" s="156">
        <v>0</v>
      </c>
    </row>
    <row r="2302" spans="1:10" ht="15.75" hidden="1" thickBot="1" x14ac:dyDescent="0.3">
      <c r="A2302" s="231"/>
      <c r="B2302" s="233"/>
      <c r="C2302" s="36" t="s">
        <v>758</v>
      </c>
      <c r="D2302" s="47" t="s">
        <v>759</v>
      </c>
      <c r="E2302" s="37">
        <f>ROUND(1.678*0.8,4)</f>
        <v>1.3424</v>
      </c>
      <c r="F2302" s="31">
        <v>21.916499999999999</v>
      </c>
      <c r="G2302" s="34">
        <f t="shared" si="40"/>
        <v>29.420709599999999</v>
      </c>
      <c r="H2302" s="35"/>
      <c r="I2302" s="31"/>
      <c r="J2302" s="156">
        <v>0</v>
      </c>
    </row>
    <row r="2303" spans="1:10" ht="15.75" hidden="1" thickBot="1" x14ac:dyDescent="0.3">
      <c r="A2303" s="231"/>
      <c r="B2303" s="233"/>
      <c r="C2303" s="36" t="s">
        <v>760</v>
      </c>
      <c r="D2303" s="47" t="s">
        <v>759</v>
      </c>
      <c r="E2303" s="37">
        <f>ROUND(0.839*0.8,4)</f>
        <v>0.67120000000000002</v>
      </c>
      <c r="F2303" s="31">
        <v>16.311500000000002</v>
      </c>
      <c r="G2303" s="34">
        <f t="shared" si="40"/>
        <v>10.948278800000002</v>
      </c>
      <c r="H2303" s="35"/>
      <c r="I2303" s="31"/>
      <c r="J2303" s="156">
        <v>0</v>
      </c>
    </row>
    <row r="2304" spans="1:10" ht="15.75" hidden="1" thickBot="1" x14ac:dyDescent="0.3">
      <c r="A2304" s="231"/>
      <c r="B2304" s="233"/>
      <c r="C2304" s="36" t="s">
        <v>210</v>
      </c>
      <c r="D2304" s="36" t="s">
        <v>20</v>
      </c>
      <c r="E2304" s="37">
        <f>ROUND(1*(2*0.9*2.1),4)</f>
        <v>3.78</v>
      </c>
      <c r="F2304" s="34">
        <v>0.61749999999999994</v>
      </c>
      <c r="G2304" s="31">
        <f t="shared" si="40"/>
        <v>2.3341499999999997</v>
      </c>
      <c r="H2304" s="35"/>
      <c r="I2304" s="40"/>
      <c r="J2304" s="156">
        <v>0</v>
      </c>
    </row>
    <row r="2305" spans="1:10" ht="15.75" hidden="1" thickBot="1" x14ac:dyDescent="0.3">
      <c r="A2305" s="231"/>
      <c r="B2305" s="233"/>
      <c r="C2305" s="36" t="s">
        <v>219</v>
      </c>
      <c r="D2305" s="50" t="s">
        <v>105</v>
      </c>
      <c r="E2305" s="37">
        <f>ROUND(0.108*(2*0.9*2.1),4)</f>
        <v>0.40820000000000001</v>
      </c>
      <c r="F2305" s="34" t="s">
        <v>572</v>
      </c>
      <c r="G2305" s="31" t="str">
        <f t="shared" si="40"/>
        <v/>
      </c>
      <c r="H2305" s="35"/>
      <c r="I2305" s="31"/>
      <c r="J2305" s="156">
        <v>0</v>
      </c>
    </row>
    <row r="2306" spans="1:10" ht="15.75" hidden="1" thickBot="1" x14ac:dyDescent="0.3">
      <c r="A2306" s="231"/>
      <c r="B2306" s="233"/>
      <c r="C2306" s="36" t="s">
        <v>103</v>
      </c>
      <c r="D2306" s="36" t="s">
        <v>12</v>
      </c>
      <c r="E2306" s="37">
        <f>ROUND(0.4*(2*0.9*2.1),4)</f>
        <v>1.512</v>
      </c>
      <c r="F2306" s="31">
        <v>23.027999999999999</v>
      </c>
      <c r="G2306" s="31">
        <f t="shared" si="40"/>
        <v>34.818335999999995</v>
      </c>
      <c r="H2306" s="35"/>
      <c r="I2306" s="31"/>
      <c r="J2306" s="156">
        <v>0</v>
      </c>
    </row>
    <row r="2307" spans="1:10" ht="15.75" hidden="1" thickBot="1" x14ac:dyDescent="0.3">
      <c r="A2307" s="231"/>
      <c r="B2307" s="233"/>
      <c r="C2307" s="36" t="s">
        <v>23</v>
      </c>
      <c r="D2307" s="36" t="s">
        <v>12</v>
      </c>
      <c r="E2307" s="37">
        <f>ROUND(0.3*(2*0.9*2.1),4)</f>
        <v>1.1339999999999999</v>
      </c>
      <c r="F2307" s="31">
        <v>16.311500000000002</v>
      </c>
      <c r="G2307" s="31">
        <f t="shared" si="40"/>
        <v>18.497241000000002</v>
      </c>
      <c r="H2307" s="35"/>
      <c r="I2307" s="31"/>
      <c r="J2307" s="156">
        <v>0</v>
      </c>
    </row>
    <row r="2308" spans="1:10" ht="15.75" hidden="1" thickBot="1" x14ac:dyDescent="0.3">
      <c r="A2308" s="231"/>
      <c r="B2308" s="233"/>
      <c r="C2308" s="36"/>
      <c r="D2308" s="36"/>
      <c r="E2308" s="37"/>
      <c r="F2308" s="31"/>
      <c r="G2308" s="31"/>
      <c r="H2308" s="35"/>
      <c r="I2308" s="31"/>
      <c r="J2308" s="156">
        <v>0</v>
      </c>
    </row>
    <row r="2309" spans="1:10" ht="15.75" hidden="1" thickBot="1" x14ac:dyDescent="0.3">
      <c r="A2309" s="231"/>
      <c r="B2309" s="233"/>
      <c r="C2309" s="2" t="s">
        <v>3489</v>
      </c>
      <c r="D2309" s="36"/>
      <c r="E2309" s="37"/>
      <c r="F2309" s="31"/>
      <c r="G2309" s="31"/>
      <c r="H2309" s="35"/>
      <c r="I2309" s="31"/>
      <c r="J2309" s="156">
        <v>0</v>
      </c>
    </row>
    <row r="2310" spans="1:10" ht="15.75" hidden="1" thickBot="1" x14ac:dyDescent="0.3">
      <c r="A2310" s="231"/>
      <c r="B2310" s="233"/>
      <c r="C2310" s="36"/>
      <c r="D2310" s="47"/>
      <c r="E2310" s="37"/>
      <c r="F2310" s="34" t="s">
        <v>572</v>
      </c>
      <c r="G2310" s="34" t="str">
        <f t="shared" ref="G2310:G2319" si="41">IF(ISNUMBER(F2310),E2310*F2310,"")</f>
        <v/>
      </c>
      <c r="H2310" s="35"/>
      <c r="I2310" s="31"/>
      <c r="J2310" s="156">
        <v>0</v>
      </c>
    </row>
    <row r="2311" spans="1:10" ht="15.75" hidden="1" thickBot="1" x14ac:dyDescent="0.3">
      <c r="A2311" s="230" t="s">
        <v>764</v>
      </c>
      <c r="B2311" s="232" t="str">
        <f>INDEX(Orçamentária!A:B,MATCH(Composições!A2311,Orçamentária!A:A,0),2)</f>
        <v>Folha de porta em madeira 2,10x1,0m, pintada</v>
      </c>
      <c r="C2311" s="41"/>
      <c r="D2311" s="26" t="str">
        <f>TRIM(INDEX(Orçamentária!C:C,MATCH(Composições!A2311,Orçamentária!A:A,0),1))</f>
        <v>un</v>
      </c>
      <c r="E2311" s="27"/>
      <c r="F2311" s="42" t="s">
        <v>572</v>
      </c>
      <c r="G2311" s="28" t="str">
        <f t="shared" si="41"/>
        <v/>
      </c>
      <c r="H2311" s="29"/>
      <c r="I2311" s="30"/>
      <c r="J2311" s="156">
        <v>0</v>
      </c>
    </row>
    <row r="2312" spans="1:10" ht="15.75" hidden="1" thickBot="1" x14ac:dyDescent="0.3">
      <c r="A2312" s="231"/>
      <c r="B2312" s="233"/>
      <c r="C2312" s="32"/>
      <c r="D2312" s="32"/>
      <c r="E2312" s="33"/>
      <c r="F2312" s="43" t="s">
        <v>572</v>
      </c>
      <c r="G2312" s="31" t="str">
        <f t="shared" si="41"/>
        <v/>
      </c>
      <c r="H2312" s="35"/>
      <c r="I2312" s="31"/>
      <c r="J2312" s="156">
        <v>0</v>
      </c>
    </row>
    <row r="2313" spans="1:10" ht="39" hidden="1" thickBot="1" x14ac:dyDescent="0.3">
      <c r="A2313" s="231"/>
      <c r="B2313" s="233"/>
      <c r="C2313" s="36" t="s">
        <v>765</v>
      </c>
      <c r="D2313" s="47" t="s">
        <v>299</v>
      </c>
      <c r="E2313" s="37">
        <v>1</v>
      </c>
      <c r="F2313" s="34">
        <v>238.03199999999998</v>
      </c>
      <c r="G2313" s="34">
        <f t="shared" si="41"/>
        <v>238.03199999999998</v>
      </c>
      <c r="H2313" s="39">
        <f>SUM(G2313:G2319)</f>
        <v>340.23401840000002</v>
      </c>
      <c r="I2313" s="40"/>
      <c r="J2313" s="156">
        <v>0</v>
      </c>
    </row>
    <row r="2314" spans="1:10" ht="15.75" hidden="1" thickBot="1" x14ac:dyDescent="0.3">
      <c r="A2314" s="231"/>
      <c r="B2314" s="233"/>
      <c r="C2314" s="36" t="s">
        <v>758</v>
      </c>
      <c r="D2314" s="47" t="s">
        <v>759</v>
      </c>
      <c r="E2314" s="37">
        <f>ROUND(1.678*0.8,4)</f>
        <v>1.3424</v>
      </c>
      <c r="F2314" s="31">
        <v>21.916499999999999</v>
      </c>
      <c r="G2314" s="34">
        <f t="shared" si="41"/>
        <v>29.420709599999999</v>
      </c>
      <c r="H2314" s="35"/>
      <c r="I2314" s="31"/>
      <c r="J2314" s="156">
        <v>0</v>
      </c>
    </row>
    <row r="2315" spans="1:10" ht="15.75" hidden="1" thickBot="1" x14ac:dyDescent="0.3">
      <c r="A2315" s="231"/>
      <c r="B2315" s="233"/>
      <c r="C2315" s="36" t="s">
        <v>760</v>
      </c>
      <c r="D2315" s="47" t="s">
        <v>759</v>
      </c>
      <c r="E2315" s="37">
        <f>ROUND(0.839*0.8,4)</f>
        <v>0.67120000000000002</v>
      </c>
      <c r="F2315" s="31">
        <v>16.311500000000002</v>
      </c>
      <c r="G2315" s="34">
        <f t="shared" si="41"/>
        <v>10.948278800000002</v>
      </c>
      <c r="H2315" s="35"/>
      <c r="I2315" s="31"/>
      <c r="J2315" s="156">
        <v>0</v>
      </c>
    </row>
    <row r="2316" spans="1:10" ht="15.75" hidden="1" thickBot="1" x14ac:dyDescent="0.3">
      <c r="A2316" s="231"/>
      <c r="B2316" s="233"/>
      <c r="C2316" s="36" t="s">
        <v>210</v>
      </c>
      <c r="D2316" s="36" t="s">
        <v>20</v>
      </c>
      <c r="E2316" s="37">
        <f>ROUND(1*(2*1*2.1),4)</f>
        <v>4.2</v>
      </c>
      <c r="F2316" s="34">
        <v>0.61749999999999994</v>
      </c>
      <c r="G2316" s="31">
        <f t="shared" si="41"/>
        <v>2.5934999999999997</v>
      </c>
      <c r="H2316" s="35"/>
      <c r="I2316" s="40"/>
      <c r="J2316" s="156">
        <v>0</v>
      </c>
    </row>
    <row r="2317" spans="1:10" ht="15.75" hidden="1" thickBot="1" x14ac:dyDescent="0.3">
      <c r="A2317" s="231"/>
      <c r="B2317" s="233"/>
      <c r="C2317" s="36" t="s">
        <v>219</v>
      </c>
      <c r="D2317" s="50" t="s">
        <v>105</v>
      </c>
      <c r="E2317" s="37">
        <f>ROUND(0.108*(2*1*2.1),4)</f>
        <v>0.4536</v>
      </c>
      <c r="F2317" s="34" t="s">
        <v>572</v>
      </c>
      <c r="G2317" s="31" t="str">
        <f t="shared" si="41"/>
        <v/>
      </c>
      <c r="H2317" s="35"/>
      <c r="I2317" s="31"/>
      <c r="J2317" s="156">
        <v>0</v>
      </c>
    </row>
    <row r="2318" spans="1:10" ht="15.75" hidden="1" thickBot="1" x14ac:dyDescent="0.3">
      <c r="A2318" s="231"/>
      <c r="B2318" s="233"/>
      <c r="C2318" s="36" t="s">
        <v>103</v>
      </c>
      <c r="D2318" s="36" t="s">
        <v>12</v>
      </c>
      <c r="E2318" s="37">
        <f>ROUND(0.4*(2*1*2.1),4)</f>
        <v>1.68</v>
      </c>
      <c r="F2318" s="31">
        <v>23.027999999999999</v>
      </c>
      <c r="G2318" s="31">
        <f t="shared" si="41"/>
        <v>38.687039999999996</v>
      </c>
      <c r="H2318" s="35"/>
      <c r="I2318" s="31"/>
      <c r="J2318" s="156">
        <v>0</v>
      </c>
    </row>
    <row r="2319" spans="1:10" ht="15.75" hidden="1" thickBot="1" x14ac:dyDescent="0.3">
      <c r="A2319" s="231"/>
      <c r="B2319" s="233"/>
      <c r="C2319" s="36" t="s">
        <v>23</v>
      </c>
      <c r="D2319" s="36" t="s">
        <v>12</v>
      </c>
      <c r="E2319" s="37">
        <f>ROUND(0.3*(2*1*2.1),4)</f>
        <v>1.26</v>
      </c>
      <c r="F2319" s="31">
        <v>16.311500000000002</v>
      </c>
      <c r="G2319" s="31">
        <f t="shared" si="41"/>
        <v>20.552490000000002</v>
      </c>
      <c r="H2319" s="35"/>
      <c r="I2319" s="31"/>
      <c r="J2319" s="156">
        <v>0</v>
      </c>
    </row>
    <row r="2320" spans="1:10" ht="15.75" hidden="1" thickBot="1" x14ac:dyDescent="0.3">
      <c r="A2320" s="231"/>
      <c r="B2320" s="233"/>
      <c r="C2320" s="36"/>
      <c r="D2320" s="36"/>
      <c r="E2320" s="37"/>
      <c r="F2320" s="31"/>
      <c r="G2320" s="31"/>
      <c r="H2320" s="35"/>
      <c r="I2320" s="31"/>
      <c r="J2320" s="156">
        <v>0</v>
      </c>
    </row>
    <row r="2321" spans="1:10" ht="15.75" hidden="1" thickBot="1" x14ac:dyDescent="0.3">
      <c r="A2321" s="231"/>
      <c r="B2321" s="233"/>
      <c r="C2321" s="2" t="s">
        <v>3489</v>
      </c>
      <c r="D2321" s="36"/>
      <c r="E2321" s="37"/>
      <c r="F2321" s="31"/>
      <c r="G2321" s="31"/>
      <c r="H2321" s="35"/>
      <c r="I2321" s="31"/>
      <c r="J2321" s="156">
        <v>0</v>
      </c>
    </row>
    <row r="2322" spans="1:10" ht="15.75" hidden="1" thickBot="1" x14ac:dyDescent="0.3">
      <c r="A2322" s="231"/>
      <c r="B2322" s="233"/>
      <c r="C2322" s="36"/>
      <c r="D2322" s="47"/>
      <c r="E2322" s="37"/>
      <c r="F2322" s="34" t="s">
        <v>572</v>
      </c>
      <c r="G2322" s="34" t="str">
        <f t="shared" ref="G2322:G2385" si="42">IF(ISNUMBER(F2322),E2322*F2322,"")</f>
        <v/>
      </c>
      <c r="H2322" s="35"/>
      <c r="I2322" s="31"/>
      <c r="J2322" s="156">
        <v>0</v>
      </c>
    </row>
    <row r="2323" spans="1:10" ht="15.75" hidden="1" thickBot="1" x14ac:dyDescent="0.3">
      <c r="A2323" s="230" t="s">
        <v>766</v>
      </c>
      <c r="B2323" s="232" t="str">
        <f>INDEX(Orçamentária!A:B,MATCH(Composições!A2323,Orçamentária!A:A,0),2)</f>
        <v>Instalação de batentes de madeira reaproveitados</v>
      </c>
      <c r="C2323" s="41"/>
      <c r="D2323" s="26" t="str">
        <f>TRIM(INDEX(Orçamentária!C:C,MATCH(Composições!A2323,Orçamentária!A:A,0),1))</f>
        <v>un</v>
      </c>
      <c r="E2323" s="27"/>
      <c r="F2323" s="42" t="s">
        <v>572</v>
      </c>
      <c r="G2323" s="28" t="str">
        <f t="shared" si="42"/>
        <v/>
      </c>
      <c r="H2323" s="29"/>
      <c r="I2323" s="30"/>
      <c r="J2323" s="156">
        <v>0</v>
      </c>
    </row>
    <row r="2324" spans="1:10" ht="15.75" hidden="1" thickBot="1" x14ac:dyDescent="0.3">
      <c r="A2324" s="231"/>
      <c r="B2324" s="233"/>
      <c r="C2324" s="32"/>
      <c r="D2324" s="32"/>
      <c r="E2324" s="33"/>
      <c r="F2324" s="43" t="s">
        <v>572</v>
      </c>
      <c r="G2324" s="31" t="str">
        <f t="shared" si="42"/>
        <v/>
      </c>
      <c r="H2324" s="35"/>
      <c r="I2324" s="31"/>
      <c r="J2324" s="156">
        <v>0</v>
      </c>
    </row>
    <row r="2325" spans="1:10" ht="15.75" hidden="1" thickBot="1" x14ac:dyDescent="0.3">
      <c r="A2325" s="231"/>
      <c r="B2325" s="233"/>
      <c r="C2325" s="36" t="s">
        <v>1543</v>
      </c>
      <c r="D2325" s="47" t="s">
        <v>957</v>
      </c>
      <c r="E2325" s="37">
        <v>1.0999999999999999E-2</v>
      </c>
      <c r="F2325" s="34">
        <v>22.914000000000001</v>
      </c>
      <c r="G2325" s="31">
        <f t="shared" si="42"/>
        <v>0.252054</v>
      </c>
      <c r="H2325" s="39">
        <f>SUM(G2325:G2328)</f>
        <v>82.877353999999997</v>
      </c>
      <c r="I2325" s="40"/>
      <c r="J2325" s="156">
        <v>0</v>
      </c>
    </row>
    <row r="2326" spans="1:10" ht="15.75" hidden="1" thickBot="1" x14ac:dyDescent="0.3">
      <c r="A2326" s="231"/>
      <c r="B2326" s="233"/>
      <c r="C2326" s="36" t="s">
        <v>101</v>
      </c>
      <c r="D2326" s="50" t="s">
        <v>957</v>
      </c>
      <c r="E2326" s="37">
        <v>2.4E-2</v>
      </c>
      <c r="F2326" s="34">
        <v>17.394499999999997</v>
      </c>
      <c r="G2326" s="31">
        <f t="shared" si="42"/>
        <v>0.41746799999999995</v>
      </c>
      <c r="H2326" s="35"/>
      <c r="I2326" s="31"/>
      <c r="J2326" s="156">
        <v>0</v>
      </c>
    </row>
    <row r="2327" spans="1:10" ht="15.75" hidden="1" thickBot="1" x14ac:dyDescent="0.3">
      <c r="A2327" s="231"/>
      <c r="B2327" s="233"/>
      <c r="C2327" s="36" t="s">
        <v>758</v>
      </c>
      <c r="D2327" s="47" t="s">
        <v>759</v>
      </c>
      <c r="E2327" s="37">
        <v>2.7410000000000001</v>
      </c>
      <c r="F2327" s="31">
        <v>21.916499999999999</v>
      </c>
      <c r="G2327" s="31">
        <f t="shared" si="42"/>
        <v>60.073126500000001</v>
      </c>
      <c r="H2327" s="35"/>
      <c r="I2327" s="31"/>
      <c r="J2327" s="156">
        <v>0</v>
      </c>
    </row>
    <row r="2328" spans="1:10" ht="15.75" hidden="1" thickBot="1" x14ac:dyDescent="0.3">
      <c r="A2328" s="231"/>
      <c r="B2328" s="233"/>
      <c r="C2328" s="36" t="s">
        <v>760</v>
      </c>
      <c r="D2328" s="47" t="s">
        <v>759</v>
      </c>
      <c r="E2328" s="37">
        <v>1.357</v>
      </c>
      <c r="F2328" s="31">
        <v>16.311500000000002</v>
      </c>
      <c r="G2328" s="31">
        <f t="shared" si="42"/>
        <v>22.134705500000003</v>
      </c>
      <c r="H2328" s="35"/>
      <c r="I2328" s="31"/>
      <c r="J2328" s="156">
        <v>0</v>
      </c>
    </row>
    <row r="2329" spans="1:10" ht="15.75" hidden="1" thickBot="1" x14ac:dyDescent="0.3">
      <c r="A2329" s="231"/>
      <c r="B2329" s="233"/>
      <c r="C2329" s="36"/>
      <c r="D2329" s="36"/>
      <c r="E2329" s="37"/>
      <c r="F2329" s="31" t="s">
        <v>572</v>
      </c>
      <c r="G2329" s="34" t="str">
        <f t="shared" si="42"/>
        <v/>
      </c>
      <c r="H2329" s="35"/>
      <c r="I2329" s="31"/>
      <c r="J2329" s="156">
        <v>0</v>
      </c>
    </row>
    <row r="2330" spans="1:10" ht="15.75" hidden="1" thickBot="1" x14ac:dyDescent="0.3">
      <c r="A2330" s="230" t="s">
        <v>767</v>
      </c>
      <c r="B2330" s="232" t="str">
        <f>INDEX(Orçamentária!A:B,MATCH(Composições!A2330,Orçamentária!A:A,0),2)</f>
        <v>Instalação de folhas de portas e dobradiças reaproveitadas</v>
      </c>
      <c r="C2330" s="41"/>
      <c r="D2330" s="26" t="str">
        <f>TRIM(INDEX(Orçamentária!C:C,MATCH(Composições!A2330,Orçamentária!A:A,0),1))</f>
        <v>un</v>
      </c>
      <c r="E2330" s="27"/>
      <c r="F2330" s="42" t="s">
        <v>572</v>
      </c>
      <c r="G2330" s="28" t="str">
        <f t="shared" si="42"/>
        <v/>
      </c>
      <c r="H2330" s="29"/>
      <c r="I2330" s="30"/>
      <c r="J2330" s="156">
        <v>0</v>
      </c>
    </row>
    <row r="2331" spans="1:10" ht="15.75" hidden="1" thickBot="1" x14ac:dyDescent="0.3">
      <c r="A2331" s="231"/>
      <c r="B2331" s="233"/>
      <c r="C2331" s="32"/>
      <c r="D2331" s="32"/>
      <c r="E2331" s="33"/>
      <c r="F2331" s="43" t="s">
        <v>572</v>
      </c>
      <c r="G2331" s="34" t="str">
        <f t="shared" si="42"/>
        <v/>
      </c>
      <c r="H2331" s="35"/>
      <c r="I2331" s="31"/>
      <c r="J2331" s="156">
        <v>0</v>
      </c>
    </row>
    <row r="2332" spans="1:10" ht="26.25" hidden="1" thickBot="1" x14ac:dyDescent="0.3">
      <c r="A2332" s="231"/>
      <c r="B2332" s="233"/>
      <c r="C2332" s="36" t="s">
        <v>757</v>
      </c>
      <c r="D2332" s="36" t="s">
        <v>299</v>
      </c>
      <c r="E2332" s="37">
        <v>19.8</v>
      </c>
      <c r="F2332" s="31">
        <v>4.7500000000000001E-2</v>
      </c>
      <c r="G2332" s="34">
        <f t="shared" si="42"/>
        <v>0.9405</v>
      </c>
      <c r="H2332" s="39">
        <f>SUM(G2332:G2335)</f>
        <v>59.392727000000008</v>
      </c>
      <c r="I2332" s="40"/>
      <c r="J2332" s="156">
        <v>0</v>
      </c>
    </row>
    <row r="2333" spans="1:10" ht="15.75" hidden="1" thickBot="1" x14ac:dyDescent="0.3">
      <c r="A2333" s="231"/>
      <c r="B2333" s="233"/>
      <c r="C2333" s="36" t="s">
        <v>758</v>
      </c>
      <c r="D2333" s="36" t="s">
        <v>759</v>
      </c>
      <c r="E2333" s="37">
        <v>1.546</v>
      </c>
      <c r="F2333" s="31">
        <v>21.916499999999999</v>
      </c>
      <c r="G2333" s="34">
        <f t="shared" si="42"/>
        <v>33.882908999999998</v>
      </c>
      <c r="H2333" s="35"/>
      <c r="I2333" s="31"/>
      <c r="J2333" s="156">
        <v>0</v>
      </c>
    </row>
    <row r="2334" spans="1:10" ht="15.75" hidden="1" thickBot="1" x14ac:dyDescent="0.3">
      <c r="A2334" s="231"/>
      <c r="B2334" s="233"/>
      <c r="C2334" s="36" t="s">
        <v>768</v>
      </c>
      <c r="D2334" s="36" t="s">
        <v>759</v>
      </c>
      <c r="E2334" s="37">
        <v>0.221</v>
      </c>
      <c r="F2334" s="31">
        <v>22.087499999999999</v>
      </c>
      <c r="G2334" s="34">
        <f t="shared" si="42"/>
        <v>4.8813374999999999</v>
      </c>
      <c r="H2334" s="35"/>
      <c r="I2334" s="31"/>
      <c r="J2334" s="156">
        <v>0</v>
      </c>
    </row>
    <row r="2335" spans="1:10" ht="15.75" hidden="1" thickBot="1" x14ac:dyDescent="0.3">
      <c r="A2335" s="231"/>
      <c r="B2335" s="233"/>
      <c r="C2335" s="36" t="s">
        <v>760</v>
      </c>
      <c r="D2335" s="36" t="s">
        <v>759</v>
      </c>
      <c r="E2335" s="37">
        <v>1.2070000000000001</v>
      </c>
      <c r="F2335" s="31">
        <v>16.311500000000002</v>
      </c>
      <c r="G2335" s="34">
        <f t="shared" si="42"/>
        <v>19.687980500000005</v>
      </c>
      <c r="H2335" s="35"/>
      <c r="I2335" s="31"/>
      <c r="J2335" s="156">
        <v>0</v>
      </c>
    </row>
    <row r="2336" spans="1:10" ht="15.75" hidden="1" thickBot="1" x14ac:dyDescent="0.3">
      <c r="A2336" s="231"/>
      <c r="B2336" s="233"/>
      <c r="C2336" s="36"/>
      <c r="D2336" s="36"/>
      <c r="E2336" s="37"/>
      <c r="F2336" s="31" t="s">
        <v>572</v>
      </c>
      <c r="G2336" s="34" t="str">
        <f t="shared" si="42"/>
        <v/>
      </c>
      <c r="H2336" s="35"/>
      <c r="I2336" s="31"/>
      <c r="J2336" s="156">
        <v>0</v>
      </c>
    </row>
    <row r="2337" spans="1:10" ht="15.75" hidden="1" thickBot="1" x14ac:dyDescent="0.3">
      <c r="A2337" s="221" t="s">
        <v>769</v>
      </c>
      <c r="B2337" s="224" t="str">
        <f>INDEX(Orçamentária!A:B,MATCH(Composições!A2337,Orçamentária!A:A,0),2)</f>
        <v>Dobradiça para porta</v>
      </c>
      <c r="C2337" s="41"/>
      <c r="D2337" s="26" t="str">
        <f>TRIM(INDEX(Orçamentária!C:C,MATCH(Composições!A2337,Orçamentária!A:A,0),1))</f>
        <v>un</v>
      </c>
      <c r="E2337" s="27"/>
      <c r="F2337" s="42" t="s">
        <v>572</v>
      </c>
      <c r="G2337" s="28" t="str">
        <f t="shared" si="42"/>
        <v/>
      </c>
      <c r="H2337" s="29"/>
      <c r="I2337" s="30"/>
      <c r="J2337" s="156">
        <v>0</v>
      </c>
    </row>
    <row r="2338" spans="1:10" ht="15.75" hidden="1" thickBot="1" x14ac:dyDescent="0.3">
      <c r="A2338" s="222"/>
      <c r="B2338" s="225"/>
      <c r="C2338" s="32"/>
      <c r="D2338" s="32"/>
      <c r="E2338" s="33"/>
      <c r="F2338" s="43" t="s">
        <v>572</v>
      </c>
      <c r="G2338" s="34" t="str">
        <f t="shared" si="42"/>
        <v/>
      </c>
      <c r="H2338" s="35"/>
      <c r="I2338" s="31"/>
      <c r="J2338" s="156">
        <v>0</v>
      </c>
    </row>
    <row r="2339" spans="1:10" ht="26.25" hidden="1" thickBot="1" x14ac:dyDescent="0.3">
      <c r="A2339" s="222"/>
      <c r="B2339" s="225"/>
      <c r="C2339" s="36" t="s">
        <v>756</v>
      </c>
      <c r="D2339" s="47" t="s">
        <v>299</v>
      </c>
      <c r="E2339" s="37">
        <v>1</v>
      </c>
      <c r="F2339" s="34">
        <v>16.9955</v>
      </c>
      <c r="G2339" s="34">
        <f t="shared" si="42"/>
        <v>16.9955</v>
      </c>
      <c r="H2339" s="39">
        <f>SUM(G2339:G2341)</f>
        <v>44.541680999999997</v>
      </c>
      <c r="I2339" s="40"/>
      <c r="J2339" s="156">
        <v>0</v>
      </c>
    </row>
    <row r="2340" spans="1:10" ht="15.75" hidden="1" thickBot="1" x14ac:dyDescent="0.3">
      <c r="A2340" s="222"/>
      <c r="B2340" s="225"/>
      <c r="C2340" s="36" t="s">
        <v>760</v>
      </c>
      <c r="D2340" s="47" t="s">
        <v>12</v>
      </c>
      <c r="E2340" s="37">
        <v>0.45800000000000002</v>
      </c>
      <c r="F2340" s="31">
        <v>16.311500000000002</v>
      </c>
      <c r="G2340" s="34">
        <f t="shared" si="42"/>
        <v>7.4706670000000015</v>
      </c>
      <c r="H2340" s="35"/>
      <c r="I2340" s="31"/>
      <c r="J2340" s="156">
        <v>0</v>
      </c>
    </row>
    <row r="2341" spans="1:10" ht="15.75" hidden="1" thickBot="1" x14ac:dyDescent="0.3">
      <c r="A2341" s="222"/>
      <c r="B2341" s="225"/>
      <c r="C2341" s="36" t="s">
        <v>44</v>
      </c>
      <c r="D2341" s="47" t="s">
        <v>12</v>
      </c>
      <c r="E2341" s="37">
        <v>0.91600000000000004</v>
      </c>
      <c r="F2341" s="31">
        <v>21.916499999999999</v>
      </c>
      <c r="G2341" s="34">
        <f t="shared" si="42"/>
        <v>20.075513999999998</v>
      </c>
      <c r="H2341" s="35"/>
      <c r="I2341" s="31"/>
      <c r="J2341" s="156">
        <v>0</v>
      </c>
    </row>
    <row r="2342" spans="1:10" ht="15.75" hidden="1" thickBot="1" x14ac:dyDescent="0.3">
      <c r="A2342" s="223"/>
      <c r="B2342" s="226"/>
      <c r="C2342" s="36"/>
      <c r="D2342" s="36"/>
      <c r="E2342" s="37"/>
      <c r="F2342" s="31" t="s">
        <v>572</v>
      </c>
      <c r="G2342" s="34" t="str">
        <f t="shared" si="42"/>
        <v/>
      </c>
      <c r="H2342" s="35"/>
      <c r="I2342" s="31"/>
      <c r="J2342" s="156">
        <v>0</v>
      </c>
    </row>
    <row r="2343" spans="1:10" ht="15.75" hidden="1" thickBot="1" x14ac:dyDescent="0.3">
      <c r="A2343" s="221" t="s">
        <v>770</v>
      </c>
      <c r="B2343" s="224" t="str">
        <f>INDEX(Orçamentária!A:B,MATCH(Composições!A2343,Orçamentária!A:A,0),2)</f>
        <v>Fechadura para banheiro maçaneta em barra</v>
      </c>
      <c r="C2343" s="41"/>
      <c r="D2343" s="26" t="str">
        <f>TRIM(INDEX(Orçamentária!C:C,MATCH(Composições!A2343,Orçamentária!A:A,0),1))</f>
        <v>un</v>
      </c>
      <c r="E2343" s="27"/>
      <c r="F2343" s="42" t="s">
        <v>572</v>
      </c>
      <c r="G2343" s="28" t="str">
        <f t="shared" si="42"/>
        <v/>
      </c>
      <c r="H2343" s="29"/>
      <c r="I2343" s="30"/>
      <c r="J2343" s="156">
        <v>0</v>
      </c>
    </row>
    <row r="2344" spans="1:10" ht="15.75" hidden="1" thickBot="1" x14ac:dyDescent="0.3">
      <c r="A2344" s="222"/>
      <c r="B2344" s="225"/>
      <c r="C2344" s="32"/>
      <c r="D2344" s="32"/>
      <c r="E2344" s="33"/>
      <c r="F2344" s="43" t="s">
        <v>572</v>
      </c>
      <c r="G2344" s="34" t="str">
        <f t="shared" si="42"/>
        <v/>
      </c>
      <c r="H2344" s="35"/>
      <c r="I2344" s="31"/>
      <c r="J2344" s="156">
        <v>0</v>
      </c>
    </row>
    <row r="2345" spans="1:10" ht="39" hidden="1" thickBot="1" x14ac:dyDescent="0.3">
      <c r="A2345" s="222"/>
      <c r="B2345" s="225"/>
      <c r="C2345" s="36" t="s">
        <v>771</v>
      </c>
      <c r="D2345" s="47" t="s">
        <v>150</v>
      </c>
      <c r="E2345" s="37">
        <v>1</v>
      </c>
      <c r="F2345" s="34" t="s">
        <v>572</v>
      </c>
      <c r="G2345" s="34" t="str">
        <f t="shared" si="42"/>
        <v/>
      </c>
      <c r="H2345" s="39">
        <f>SUM(G2345:G2347)</f>
        <v>23.0735715</v>
      </c>
      <c r="I2345" s="40"/>
      <c r="J2345" s="156">
        <v>0</v>
      </c>
    </row>
    <row r="2346" spans="1:10" ht="15.75" hidden="1" thickBot="1" x14ac:dyDescent="0.3">
      <c r="A2346" s="222"/>
      <c r="B2346" s="225"/>
      <c r="C2346" s="36" t="s">
        <v>44</v>
      </c>
      <c r="D2346" s="47" t="s">
        <v>12</v>
      </c>
      <c r="E2346" s="37">
        <v>0.76700000000000002</v>
      </c>
      <c r="F2346" s="31">
        <v>21.916499999999999</v>
      </c>
      <c r="G2346" s="34">
        <f t="shared" si="42"/>
        <v>16.809955500000001</v>
      </c>
      <c r="H2346" s="35"/>
      <c r="I2346" s="31"/>
      <c r="J2346" s="156">
        <v>0</v>
      </c>
    </row>
    <row r="2347" spans="1:10" ht="15.75" hidden="1" thickBot="1" x14ac:dyDescent="0.3">
      <c r="A2347" s="222"/>
      <c r="B2347" s="225"/>
      <c r="C2347" s="36" t="s">
        <v>23</v>
      </c>
      <c r="D2347" s="47" t="s">
        <v>12</v>
      </c>
      <c r="E2347" s="37">
        <v>0.38400000000000001</v>
      </c>
      <c r="F2347" s="31">
        <v>16.311500000000002</v>
      </c>
      <c r="G2347" s="34">
        <f t="shared" si="42"/>
        <v>6.2636160000000007</v>
      </c>
      <c r="H2347" s="35"/>
      <c r="I2347" s="31"/>
      <c r="J2347" s="156">
        <v>0</v>
      </c>
    </row>
    <row r="2348" spans="1:10" ht="15.75" hidden="1" thickBot="1" x14ac:dyDescent="0.3">
      <c r="A2348" s="223"/>
      <c r="B2348" s="226"/>
      <c r="C2348" s="36"/>
      <c r="D2348" s="36"/>
      <c r="E2348" s="37"/>
      <c r="F2348" s="31" t="s">
        <v>572</v>
      </c>
      <c r="G2348" s="34" t="str">
        <f t="shared" si="42"/>
        <v/>
      </c>
      <c r="H2348" s="35"/>
      <c r="I2348" s="31"/>
      <c r="J2348" s="156">
        <v>0</v>
      </c>
    </row>
    <row r="2349" spans="1:10" ht="15.75" hidden="1" thickBot="1" x14ac:dyDescent="0.3">
      <c r="A2349" s="221" t="s">
        <v>772</v>
      </c>
      <c r="B2349" s="224" t="str">
        <f>INDEX(Orçamentária!A:B,MATCH(Composições!A2349,Orçamentária!A:A,0),2)</f>
        <v>Fechadura para porta externa maçaneta em barra</v>
      </c>
      <c r="C2349" s="41"/>
      <c r="D2349" s="26" t="str">
        <f>TRIM(INDEX(Orçamentária!C:C,MATCH(Composições!A2349,Orçamentária!A:A,0),1))</f>
        <v>un</v>
      </c>
      <c r="E2349" s="27"/>
      <c r="F2349" s="42" t="s">
        <v>572</v>
      </c>
      <c r="G2349" s="28" t="str">
        <f t="shared" si="42"/>
        <v/>
      </c>
      <c r="H2349" s="29"/>
      <c r="I2349" s="30"/>
      <c r="J2349" s="156">
        <v>0</v>
      </c>
    </row>
    <row r="2350" spans="1:10" ht="15.75" hidden="1" thickBot="1" x14ac:dyDescent="0.3">
      <c r="A2350" s="222"/>
      <c r="B2350" s="225"/>
      <c r="C2350" s="32"/>
      <c r="D2350" s="32"/>
      <c r="E2350" s="33"/>
      <c r="F2350" s="43" t="s">
        <v>572</v>
      </c>
      <c r="G2350" s="34" t="str">
        <f t="shared" si="42"/>
        <v/>
      </c>
      <c r="H2350" s="35"/>
      <c r="I2350" s="31"/>
      <c r="J2350" s="156">
        <v>0</v>
      </c>
    </row>
    <row r="2351" spans="1:10" ht="39" hidden="1" thickBot="1" x14ac:dyDescent="0.3">
      <c r="A2351" s="222"/>
      <c r="B2351" s="225"/>
      <c r="C2351" s="36" t="s">
        <v>773</v>
      </c>
      <c r="D2351" s="47" t="s">
        <v>150</v>
      </c>
      <c r="E2351" s="37">
        <v>1</v>
      </c>
      <c r="F2351" s="34" t="s">
        <v>572</v>
      </c>
      <c r="G2351" s="34" t="str">
        <f t="shared" si="42"/>
        <v/>
      </c>
      <c r="H2351" s="39">
        <f>SUM(G2351:G2353)</f>
        <v>30.1323945</v>
      </c>
      <c r="I2351" s="40"/>
      <c r="J2351" s="156">
        <v>0</v>
      </c>
    </row>
    <row r="2352" spans="1:10" ht="15.75" hidden="1" thickBot="1" x14ac:dyDescent="0.3">
      <c r="A2352" s="222"/>
      <c r="B2352" s="225"/>
      <c r="C2352" s="36" t="s">
        <v>44</v>
      </c>
      <c r="D2352" s="47" t="s">
        <v>12</v>
      </c>
      <c r="E2352" s="37">
        <v>1.002</v>
      </c>
      <c r="F2352" s="31">
        <v>21.916499999999999</v>
      </c>
      <c r="G2352" s="34">
        <f t="shared" si="42"/>
        <v>21.960332999999999</v>
      </c>
      <c r="H2352" s="35"/>
      <c r="I2352" s="31"/>
      <c r="J2352" s="156">
        <v>0</v>
      </c>
    </row>
    <row r="2353" spans="1:10" ht="15.75" hidden="1" thickBot="1" x14ac:dyDescent="0.3">
      <c r="A2353" s="222"/>
      <c r="B2353" s="225"/>
      <c r="C2353" s="36" t="s">
        <v>23</v>
      </c>
      <c r="D2353" s="47" t="s">
        <v>12</v>
      </c>
      <c r="E2353" s="37">
        <v>0.501</v>
      </c>
      <c r="F2353" s="31">
        <v>16.311500000000002</v>
      </c>
      <c r="G2353" s="34">
        <f t="shared" si="42"/>
        <v>8.1720615000000016</v>
      </c>
      <c r="H2353" s="35"/>
      <c r="I2353" s="31"/>
      <c r="J2353" s="156">
        <v>0</v>
      </c>
    </row>
    <row r="2354" spans="1:10" ht="15.75" hidden="1" thickBot="1" x14ac:dyDescent="0.3">
      <c r="A2354" s="223"/>
      <c r="B2354" s="226"/>
      <c r="C2354" s="36"/>
      <c r="D2354" s="36"/>
      <c r="E2354" s="37"/>
      <c r="F2354" s="31" t="s">
        <v>572</v>
      </c>
      <c r="G2354" s="34" t="str">
        <f t="shared" si="42"/>
        <v/>
      </c>
      <c r="H2354" s="35"/>
      <c r="I2354" s="31"/>
      <c r="J2354" s="156">
        <v>0</v>
      </c>
    </row>
    <row r="2355" spans="1:10" ht="15.75" hidden="1" thickBot="1" x14ac:dyDescent="0.3">
      <c r="A2355" s="221" t="s">
        <v>774</v>
      </c>
      <c r="B2355" s="224" t="str">
        <f>INDEX(Orçamentária!A:B,MATCH(Composições!A2355,Orçamentária!A:A,0),2)</f>
        <v>Fechadura para porta interna maçaneta tubular</v>
      </c>
      <c r="C2355" s="41"/>
      <c r="D2355" s="26" t="str">
        <f>TRIM(INDEX(Orçamentária!C:C,MATCH(Composições!A2355,Orçamentária!A:A,0),1))</f>
        <v>un</v>
      </c>
      <c r="E2355" s="27"/>
      <c r="F2355" s="42" t="s">
        <v>572</v>
      </c>
      <c r="G2355" s="28" t="str">
        <f t="shared" si="42"/>
        <v/>
      </c>
      <c r="H2355" s="29"/>
      <c r="I2355" s="30"/>
      <c r="J2355" s="156">
        <v>0</v>
      </c>
    </row>
    <row r="2356" spans="1:10" ht="15.75" hidden="1" thickBot="1" x14ac:dyDescent="0.3">
      <c r="A2356" s="222"/>
      <c r="B2356" s="225"/>
      <c r="C2356" s="32"/>
      <c r="D2356" s="32"/>
      <c r="E2356" s="33"/>
      <c r="F2356" s="43" t="s">
        <v>572</v>
      </c>
      <c r="G2356" s="34" t="str">
        <f t="shared" si="42"/>
        <v/>
      </c>
      <c r="H2356" s="35"/>
      <c r="I2356" s="31"/>
      <c r="J2356" s="156">
        <v>0</v>
      </c>
    </row>
    <row r="2357" spans="1:10" ht="39" hidden="1" thickBot="1" x14ac:dyDescent="0.3">
      <c r="A2357" s="222"/>
      <c r="B2357" s="225"/>
      <c r="C2357" s="36" t="s">
        <v>775</v>
      </c>
      <c r="D2357" s="47" t="s">
        <v>150</v>
      </c>
      <c r="E2357" s="37">
        <v>1</v>
      </c>
      <c r="F2357" s="34" t="s">
        <v>572</v>
      </c>
      <c r="G2357" s="34" t="str">
        <f t="shared" si="42"/>
        <v/>
      </c>
      <c r="H2357" s="39">
        <f>SUM(G2357:G2359)</f>
        <v>30.1323945</v>
      </c>
      <c r="I2357" s="40"/>
      <c r="J2357" s="156">
        <v>0</v>
      </c>
    </row>
    <row r="2358" spans="1:10" ht="15.75" hidden="1" thickBot="1" x14ac:dyDescent="0.3">
      <c r="A2358" s="222"/>
      <c r="B2358" s="225"/>
      <c r="C2358" s="36" t="s">
        <v>44</v>
      </c>
      <c r="D2358" s="47" t="s">
        <v>12</v>
      </c>
      <c r="E2358" s="37">
        <v>1.002</v>
      </c>
      <c r="F2358" s="31">
        <v>21.916499999999999</v>
      </c>
      <c r="G2358" s="34">
        <f t="shared" si="42"/>
        <v>21.960332999999999</v>
      </c>
      <c r="H2358" s="35"/>
      <c r="I2358" s="31"/>
      <c r="J2358" s="156">
        <v>0</v>
      </c>
    </row>
    <row r="2359" spans="1:10" ht="15.75" hidden="1" thickBot="1" x14ac:dyDescent="0.3">
      <c r="A2359" s="222"/>
      <c r="B2359" s="225"/>
      <c r="C2359" s="36" t="s">
        <v>23</v>
      </c>
      <c r="D2359" s="47" t="s">
        <v>12</v>
      </c>
      <c r="E2359" s="37">
        <v>0.501</v>
      </c>
      <c r="F2359" s="31">
        <v>16.311500000000002</v>
      </c>
      <c r="G2359" s="34">
        <f t="shared" si="42"/>
        <v>8.1720615000000016</v>
      </c>
      <c r="H2359" s="35"/>
      <c r="I2359" s="31"/>
      <c r="J2359" s="156">
        <v>0</v>
      </c>
    </row>
    <row r="2360" spans="1:10" ht="15.75" hidden="1" thickBot="1" x14ac:dyDescent="0.3">
      <c r="A2360" s="223"/>
      <c r="B2360" s="226"/>
      <c r="C2360" s="36"/>
      <c r="D2360" s="36"/>
      <c r="E2360" s="37"/>
      <c r="F2360" s="31" t="s">
        <v>572</v>
      </c>
      <c r="G2360" s="34" t="str">
        <f t="shared" si="42"/>
        <v/>
      </c>
      <c r="H2360" s="35"/>
      <c r="I2360" s="31"/>
      <c r="J2360" s="156">
        <v>0</v>
      </c>
    </row>
    <row r="2361" spans="1:10" ht="15.75" hidden="1" thickBot="1" x14ac:dyDescent="0.3">
      <c r="A2361" s="221" t="s">
        <v>776</v>
      </c>
      <c r="B2361" s="224" t="str">
        <f>INDEX(Orçamentária!A:B,MATCH(Composições!A2361,Orçamentária!A:A,0),2)</f>
        <v>Instalação de fechadura/puxador de porta reaproveitados</v>
      </c>
      <c r="C2361" s="41"/>
      <c r="D2361" s="26" t="str">
        <f>TRIM(INDEX(Orçamentária!C:C,MATCH(Composições!A2361,Orçamentária!A:A,0),1))</f>
        <v>un</v>
      </c>
      <c r="E2361" s="27"/>
      <c r="F2361" s="42" t="s">
        <v>572</v>
      </c>
      <c r="G2361" s="28" t="str">
        <f t="shared" si="42"/>
        <v/>
      </c>
      <c r="H2361" s="29"/>
      <c r="I2361" s="30"/>
      <c r="J2361" s="156">
        <v>0</v>
      </c>
    </row>
    <row r="2362" spans="1:10" ht="15.75" hidden="1" thickBot="1" x14ac:dyDescent="0.3">
      <c r="A2362" s="222"/>
      <c r="B2362" s="225"/>
      <c r="C2362" s="32"/>
      <c r="D2362" s="32"/>
      <c r="E2362" s="33"/>
      <c r="F2362" s="43" t="s">
        <v>572</v>
      </c>
      <c r="G2362" s="34" t="str">
        <f t="shared" si="42"/>
        <v/>
      </c>
      <c r="H2362" s="35"/>
      <c r="I2362" s="31"/>
      <c r="J2362" s="156">
        <v>0</v>
      </c>
    </row>
    <row r="2363" spans="1:10" ht="15.75" hidden="1" thickBot="1" x14ac:dyDescent="0.3">
      <c r="A2363" s="222"/>
      <c r="B2363" s="225"/>
      <c r="C2363" s="36" t="s">
        <v>44</v>
      </c>
      <c r="D2363" s="36" t="s">
        <v>12</v>
      </c>
      <c r="E2363" s="37">
        <v>1.002</v>
      </c>
      <c r="F2363" s="31">
        <v>21.916499999999999</v>
      </c>
      <c r="G2363" s="34">
        <f t="shared" si="42"/>
        <v>21.960332999999999</v>
      </c>
      <c r="H2363" s="39">
        <f>SUM(G2363:G2364)</f>
        <v>30.1323945</v>
      </c>
      <c r="I2363" s="40"/>
      <c r="J2363" s="156">
        <v>0</v>
      </c>
    </row>
    <row r="2364" spans="1:10" ht="15.75" hidden="1" thickBot="1" x14ac:dyDescent="0.3">
      <c r="A2364" s="222"/>
      <c r="B2364" s="225"/>
      <c r="C2364" s="36" t="s">
        <v>23</v>
      </c>
      <c r="D2364" s="36" t="s">
        <v>12</v>
      </c>
      <c r="E2364" s="37">
        <v>0.501</v>
      </c>
      <c r="F2364" s="31">
        <v>16.311500000000002</v>
      </c>
      <c r="G2364" s="34">
        <f t="shared" si="42"/>
        <v>8.1720615000000016</v>
      </c>
      <c r="H2364" s="35"/>
      <c r="I2364" s="31"/>
      <c r="J2364" s="156">
        <v>0</v>
      </c>
    </row>
    <row r="2365" spans="1:10" ht="15.75" hidden="1" thickBot="1" x14ac:dyDescent="0.3">
      <c r="A2365" s="223"/>
      <c r="B2365" s="226"/>
      <c r="C2365" s="36"/>
      <c r="D2365" s="36"/>
      <c r="E2365" s="37"/>
      <c r="F2365" s="31" t="s">
        <v>572</v>
      </c>
      <c r="G2365" s="34" t="str">
        <f t="shared" si="42"/>
        <v/>
      </c>
      <c r="H2365" s="35"/>
      <c r="I2365" s="31"/>
      <c r="J2365" s="156">
        <v>0</v>
      </c>
    </row>
    <row r="2366" spans="1:10" ht="15.75" hidden="1" thickBot="1" x14ac:dyDescent="0.3">
      <c r="A2366" s="221" t="s">
        <v>777</v>
      </c>
      <c r="B2366" s="224" t="str">
        <f>INDEX(Orçamentária!A:B,MATCH(Composições!A2366,Orçamentária!A:A,0),2)</f>
        <v>Mola hidráulica aérea</v>
      </c>
      <c r="C2366" s="41"/>
      <c r="D2366" s="26" t="str">
        <f>TRIM(INDEX(Orçamentária!C:C,MATCH(Composições!A2366,Orçamentária!A:A,0),1))</f>
        <v>un</v>
      </c>
      <c r="E2366" s="27"/>
      <c r="F2366" s="42" t="s">
        <v>572</v>
      </c>
      <c r="G2366" s="28" t="str">
        <f t="shared" si="42"/>
        <v/>
      </c>
      <c r="H2366" s="29"/>
      <c r="I2366" s="30"/>
      <c r="J2366" s="156">
        <v>0</v>
      </c>
    </row>
    <row r="2367" spans="1:10" ht="15.75" hidden="1" thickBot="1" x14ac:dyDescent="0.3">
      <c r="A2367" s="222"/>
      <c r="B2367" s="225"/>
      <c r="C2367" s="32"/>
      <c r="D2367" s="32"/>
      <c r="E2367" s="33"/>
      <c r="F2367" s="43" t="s">
        <v>572</v>
      </c>
      <c r="G2367" s="34" t="str">
        <f t="shared" si="42"/>
        <v/>
      </c>
      <c r="H2367" s="35"/>
      <c r="I2367" s="31"/>
      <c r="J2367" s="156">
        <v>0</v>
      </c>
    </row>
    <row r="2368" spans="1:10" ht="15.75" hidden="1" thickBot="1" x14ac:dyDescent="0.3">
      <c r="A2368" s="222"/>
      <c r="B2368" s="225"/>
      <c r="C2368" s="36" t="s">
        <v>660</v>
      </c>
      <c r="D2368" s="36" t="s">
        <v>12</v>
      </c>
      <c r="E2368" s="37">
        <v>1</v>
      </c>
      <c r="F2368" s="31">
        <v>22.268000000000001</v>
      </c>
      <c r="G2368" s="34">
        <f t="shared" si="42"/>
        <v>22.268000000000001</v>
      </c>
      <c r="H2368" s="39">
        <f>SUM(G2368:G2369)</f>
        <v>22.268000000000001</v>
      </c>
      <c r="I2368" s="40"/>
      <c r="J2368" s="156">
        <v>0</v>
      </c>
    </row>
    <row r="2369" spans="1:10" ht="26.25" hidden="1" thickBot="1" x14ac:dyDescent="0.3">
      <c r="A2369" s="222"/>
      <c r="B2369" s="225"/>
      <c r="C2369" s="36" t="s">
        <v>778</v>
      </c>
      <c r="D2369" s="36" t="s">
        <v>20</v>
      </c>
      <c r="E2369" s="37">
        <v>1</v>
      </c>
      <c r="F2369" s="34" t="s">
        <v>572</v>
      </c>
      <c r="G2369" s="34" t="str">
        <f t="shared" si="42"/>
        <v/>
      </c>
      <c r="H2369" s="35"/>
      <c r="I2369" s="31"/>
      <c r="J2369" s="156">
        <v>0</v>
      </c>
    </row>
    <row r="2370" spans="1:10" ht="15.75" hidden="1" thickBot="1" x14ac:dyDescent="0.3">
      <c r="A2370" s="223"/>
      <c r="B2370" s="226"/>
      <c r="C2370" s="36"/>
      <c r="D2370" s="36"/>
      <c r="E2370" s="37"/>
      <c r="F2370" s="31" t="s">
        <v>572</v>
      </c>
      <c r="G2370" s="34" t="str">
        <f t="shared" si="42"/>
        <v/>
      </c>
      <c r="H2370" s="35"/>
      <c r="I2370" s="31"/>
      <c r="J2370" s="156">
        <v>0</v>
      </c>
    </row>
    <row r="2371" spans="1:10" ht="15.75" hidden="1" thickBot="1" x14ac:dyDescent="0.3">
      <c r="A2371" s="221" t="s">
        <v>779</v>
      </c>
      <c r="B2371" s="224" t="str">
        <f>INDEX(Orçamentária!A:B,MATCH(Composições!A2371,Orçamentária!A:A,0),2)</f>
        <v>Pivô em latão com acabamento cromado para portas pivotantes</v>
      </c>
      <c r="C2371" s="41"/>
      <c r="D2371" s="26" t="str">
        <f>TRIM(INDEX(Orçamentária!C:C,MATCH(Composições!A2371,Orçamentária!A:A,0),1))</f>
        <v>un</v>
      </c>
      <c r="E2371" s="27"/>
      <c r="F2371" s="42" t="s">
        <v>572</v>
      </c>
      <c r="G2371" s="28" t="str">
        <f t="shared" si="42"/>
        <v/>
      </c>
      <c r="H2371" s="29"/>
      <c r="I2371" s="30"/>
      <c r="J2371" s="156">
        <v>0</v>
      </c>
    </row>
    <row r="2372" spans="1:10" ht="15.75" hidden="1" thickBot="1" x14ac:dyDescent="0.3">
      <c r="A2372" s="222"/>
      <c r="B2372" s="225"/>
      <c r="C2372" s="32"/>
      <c r="D2372" s="32"/>
      <c r="E2372" s="33"/>
      <c r="F2372" s="43" t="s">
        <v>572</v>
      </c>
      <c r="G2372" s="34" t="str">
        <f t="shared" si="42"/>
        <v/>
      </c>
      <c r="H2372" s="35"/>
      <c r="I2372" s="31"/>
      <c r="J2372" s="156">
        <v>0</v>
      </c>
    </row>
    <row r="2373" spans="1:10" ht="15.75" hidden="1" thickBot="1" x14ac:dyDescent="0.3">
      <c r="A2373" s="222"/>
      <c r="B2373" s="225"/>
      <c r="C2373" s="36" t="s">
        <v>660</v>
      </c>
      <c r="D2373" s="36" t="s">
        <v>12</v>
      </c>
      <c r="E2373" s="37">
        <f>1/2</f>
        <v>0.5</v>
      </c>
      <c r="F2373" s="31">
        <v>22.268000000000001</v>
      </c>
      <c r="G2373" s="34">
        <f t="shared" si="42"/>
        <v>11.134</v>
      </c>
      <c r="H2373" s="39">
        <f>SUM(G2373:G2374)</f>
        <v>11.134</v>
      </c>
      <c r="I2373" s="40"/>
      <c r="J2373" s="156">
        <v>0</v>
      </c>
    </row>
    <row r="2374" spans="1:10" ht="39" hidden="1" thickBot="1" x14ac:dyDescent="0.3">
      <c r="A2374" s="222"/>
      <c r="B2374" s="225"/>
      <c r="C2374" s="36" t="s">
        <v>780</v>
      </c>
      <c r="D2374" s="36" t="s">
        <v>20</v>
      </c>
      <c r="E2374" s="37">
        <v>1</v>
      </c>
      <c r="F2374" s="34" t="s">
        <v>572</v>
      </c>
      <c r="G2374" s="34" t="str">
        <f t="shared" si="42"/>
        <v/>
      </c>
      <c r="H2374" s="35"/>
      <c r="I2374" s="31"/>
      <c r="J2374" s="156">
        <v>0</v>
      </c>
    </row>
    <row r="2375" spans="1:10" ht="15.75" hidden="1" thickBot="1" x14ac:dyDescent="0.3">
      <c r="A2375" s="223"/>
      <c r="B2375" s="226"/>
      <c r="C2375" s="36"/>
      <c r="D2375" s="36"/>
      <c r="E2375" s="37"/>
      <c r="F2375" s="31" t="s">
        <v>572</v>
      </c>
      <c r="G2375" s="34" t="str">
        <f t="shared" si="42"/>
        <v/>
      </c>
      <c r="H2375" s="35"/>
      <c r="I2375" s="31"/>
      <c r="J2375" s="156">
        <v>0</v>
      </c>
    </row>
    <row r="2376" spans="1:10" ht="15.75" hidden="1" thickBot="1" x14ac:dyDescent="0.3">
      <c r="A2376" s="221" t="s">
        <v>781</v>
      </c>
      <c r="B2376" s="224" t="str">
        <f>INDEX(Orçamentária!A:B,MATCH(Composições!A2376,Orçamentária!A:A,0),2)</f>
        <v>Cabo de dados tipo UTP, tipo LSZH, categoria 6</v>
      </c>
      <c r="C2376" s="41"/>
      <c r="D2376" s="26" t="str">
        <f>TRIM(INDEX(Orçamentária!C:C,MATCH(Composições!A2376,Orçamentária!A:A,0),1))</f>
        <v>m</v>
      </c>
      <c r="E2376" s="27"/>
      <c r="F2376" s="42" t="s">
        <v>572</v>
      </c>
      <c r="G2376" s="28" t="str">
        <f t="shared" si="42"/>
        <v/>
      </c>
      <c r="H2376" s="29"/>
      <c r="I2376" s="30"/>
      <c r="J2376" s="156">
        <v>0</v>
      </c>
    </row>
    <row r="2377" spans="1:10" ht="15.75" hidden="1" thickBot="1" x14ac:dyDescent="0.3">
      <c r="A2377" s="222"/>
      <c r="B2377" s="225"/>
      <c r="C2377" s="32"/>
      <c r="D2377" s="32"/>
      <c r="E2377" s="33"/>
      <c r="F2377" s="43" t="s">
        <v>572</v>
      </c>
      <c r="G2377" s="34" t="str">
        <f t="shared" si="42"/>
        <v/>
      </c>
      <c r="H2377" s="35"/>
      <c r="I2377" s="31"/>
      <c r="J2377" s="156">
        <v>0</v>
      </c>
    </row>
    <row r="2378" spans="1:10" ht="15.75" hidden="1" thickBot="1" x14ac:dyDescent="0.3">
      <c r="A2378" s="222"/>
      <c r="B2378" s="225"/>
      <c r="C2378" s="36" t="s">
        <v>74</v>
      </c>
      <c r="D2378" s="36" t="s">
        <v>12</v>
      </c>
      <c r="E2378" s="37">
        <v>2.8E-3</v>
      </c>
      <c r="F2378" s="31">
        <v>17.366</v>
      </c>
      <c r="G2378" s="34">
        <f t="shared" si="42"/>
        <v>4.8624799999999996E-2</v>
      </c>
      <c r="H2378" s="39">
        <f>SUM(G2378:G2380)</f>
        <v>0.1109752</v>
      </c>
      <c r="I2378" s="40"/>
      <c r="J2378" s="156">
        <v>0</v>
      </c>
    </row>
    <row r="2379" spans="1:10" ht="15.75" hidden="1" thickBot="1" x14ac:dyDescent="0.3">
      <c r="A2379" s="222"/>
      <c r="B2379" s="225"/>
      <c r="C2379" s="36" t="s">
        <v>30</v>
      </c>
      <c r="D2379" s="36" t="s">
        <v>12</v>
      </c>
      <c r="E2379" s="37">
        <v>2.8E-3</v>
      </c>
      <c r="F2379" s="31">
        <v>22.268000000000001</v>
      </c>
      <c r="G2379" s="34">
        <f t="shared" si="42"/>
        <v>6.23504E-2</v>
      </c>
      <c r="H2379" s="35"/>
      <c r="I2379" s="31"/>
      <c r="J2379" s="156">
        <v>0</v>
      </c>
    </row>
    <row r="2380" spans="1:10" ht="26.25" hidden="1" thickBot="1" x14ac:dyDescent="0.3">
      <c r="A2380" s="222"/>
      <c r="B2380" s="225"/>
      <c r="C2380" s="36" t="s">
        <v>782</v>
      </c>
      <c r="D2380" s="36" t="s">
        <v>94</v>
      </c>
      <c r="E2380" s="37">
        <v>1.05</v>
      </c>
      <c r="F2380" s="34" t="s">
        <v>572</v>
      </c>
      <c r="G2380" s="34" t="str">
        <f t="shared" si="42"/>
        <v/>
      </c>
      <c r="H2380" s="35"/>
      <c r="I2380" s="31"/>
      <c r="J2380" s="156">
        <v>0</v>
      </c>
    </row>
    <row r="2381" spans="1:10" ht="15.75" hidden="1" thickBot="1" x14ac:dyDescent="0.3">
      <c r="A2381" s="223"/>
      <c r="B2381" s="226"/>
      <c r="C2381" s="36"/>
      <c r="D2381" s="36"/>
      <c r="E2381" s="37"/>
      <c r="F2381" s="31" t="s">
        <v>572</v>
      </c>
      <c r="G2381" s="34" t="str">
        <f t="shared" si="42"/>
        <v/>
      </c>
      <c r="H2381" s="35"/>
      <c r="I2381" s="31"/>
      <c r="J2381" s="156">
        <v>0</v>
      </c>
    </row>
    <row r="2382" spans="1:10" ht="15.75" hidden="1" thickBot="1" x14ac:dyDescent="0.3">
      <c r="A2382" s="221" t="s">
        <v>783</v>
      </c>
      <c r="B2382" s="224" t="str">
        <f>INDEX(Orçamentária!A:B,MATCH(Composições!A2382,Orçamentária!A:A,0),2)</f>
        <v>Módulo (tomada) de rede RJ45, categoria 6, com conectorização e certificação</v>
      </c>
      <c r="C2382" s="41"/>
      <c r="D2382" s="26" t="str">
        <f>TRIM(INDEX(Orçamentária!C:C,MATCH(Composições!A2382,Orçamentária!A:A,0),1))</f>
        <v>un</v>
      </c>
      <c r="E2382" s="27"/>
      <c r="F2382" s="42" t="s">
        <v>572</v>
      </c>
      <c r="G2382" s="28" t="str">
        <f t="shared" si="42"/>
        <v/>
      </c>
      <c r="H2382" s="29"/>
      <c r="I2382" s="30"/>
      <c r="J2382" s="156">
        <v>0</v>
      </c>
    </row>
    <row r="2383" spans="1:10" ht="15.75" hidden="1" thickBot="1" x14ac:dyDescent="0.3">
      <c r="A2383" s="222"/>
      <c r="B2383" s="225"/>
      <c r="C2383" s="32"/>
      <c r="D2383" s="32"/>
      <c r="E2383" s="33"/>
      <c r="F2383" s="43" t="s">
        <v>572</v>
      </c>
      <c r="G2383" s="34" t="str">
        <f t="shared" si="42"/>
        <v/>
      </c>
      <c r="H2383" s="35"/>
      <c r="I2383" s="31"/>
      <c r="J2383" s="156">
        <v>0</v>
      </c>
    </row>
    <row r="2384" spans="1:10" ht="26.25" hidden="1" thickBot="1" x14ac:dyDescent="0.3">
      <c r="A2384" s="222"/>
      <c r="B2384" s="225"/>
      <c r="C2384" s="36" t="s">
        <v>784</v>
      </c>
      <c r="D2384" s="36" t="s">
        <v>150</v>
      </c>
      <c r="E2384" s="37">
        <v>1</v>
      </c>
      <c r="F2384" s="34" t="s">
        <v>572</v>
      </c>
      <c r="G2384" s="34" t="str">
        <f t="shared" si="42"/>
        <v/>
      </c>
      <c r="H2384" s="39">
        <f>SUM(G2384:G2388)</f>
        <v>16.345061600000001</v>
      </c>
      <c r="I2384" s="40"/>
      <c r="J2384" s="156">
        <v>0</v>
      </c>
    </row>
    <row r="2385" spans="1:10" ht="15.75" hidden="1" thickBot="1" x14ac:dyDescent="0.3">
      <c r="A2385" s="222"/>
      <c r="B2385" s="225"/>
      <c r="C2385" s="36" t="s">
        <v>785</v>
      </c>
      <c r="D2385" s="36" t="s">
        <v>150</v>
      </c>
      <c r="E2385" s="37">
        <v>1</v>
      </c>
      <c r="F2385" s="34" t="s">
        <v>572</v>
      </c>
      <c r="G2385" s="34" t="str">
        <f t="shared" si="42"/>
        <v/>
      </c>
      <c r="H2385" s="35"/>
      <c r="I2385" s="31"/>
      <c r="J2385" s="156">
        <v>0</v>
      </c>
    </row>
    <row r="2386" spans="1:10" ht="15.75" hidden="1" thickBot="1" x14ac:dyDescent="0.3">
      <c r="A2386" s="222"/>
      <c r="B2386" s="225"/>
      <c r="C2386" s="36" t="s">
        <v>786</v>
      </c>
      <c r="D2386" s="36" t="s">
        <v>150</v>
      </c>
      <c r="E2386" s="37">
        <v>1</v>
      </c>
      <c r="F2386" s="34" t="s">
        <v>572</v>
      </c>
      <c r="G2386" s="34" t="str">
        <f t="shared" ref="G2386:G2449" si="43">IF(ISNUMBER(F2386),E2386*F2386,"")</f>
        <v/>
      </c>
      <c r="H2386" s="35"/>
      <c r="I2386" s="31"/>
      <c r="J2386" s="156">
        <v>0</v>
      </c>
    </row>
    <row r="2387" spans="1:10" ht="15.75" hidden="1" thickBot="1" x14ac:dyDescent="0.3">
      <c r="A2387" s="222"/>
      <c r="B2387" s="225"/>
      <c r="C2387" s="36" t="s">
        <v>74</v>
      </c>
      <c r="D2387" s="47" t="s">
        <v>12</v>
      </c>
      <c r="E2387" s="37">
        <f>0.2062*2</f>
        <v>0.41239999999999999</v>
      </c>
      <c r="F2387" s="31">
        <v>17.366</v>
      </c>
      <c r="G2387" s="34">
        <f t="shared" si="43"/>
        <v>7.1617383999999999</v>
      </c>
      <c r="H2387" s="35"/>
      <c r="I2387" s="31"/>
      <c r="J2387" s="156">
        <v>0</v>
      </c>
    </row>
    <row r="2388" spans="1:10" ht="15.75" hidden="1" thickBot="1" x14ac:dyDescent="0.3">
      <c r="A2388" s="222"/>
      <c r="B2388" s="225"/>
      <c r="C2388" s="36" t="s">
        <v>30</v>
      </c>
      <c r="D2388" s="36" t="s">
        <v>12</v>
      </c>
      <c r="E2388" s="37">
        <f>0.2062*2</f>
        <v>0.41239999999999999</v>
      </c>
      <c r="F2388" s="31">
        <v>22.268000000000001</v>
      </c>
      <c r="G2388" s="34">
        <f t="shared" si="43"/>
        <v>9.1833232000000002</v>
      </c>
      <c r="H2388" s="35"/>
      <c r="I2388" s="31"/>
      <c r="J2388" s="156">
        <v>0</v>
      </c>
    </row>
    <row r="2389" spans="1:10" ht="15.75" hidden="1" thickBot="1" x14ac:dyDescent="0.3">
      <c r="A2389" s="223"/>
      <c r="B2389" s="226"/>
      <c r="C2389" s="36"/>
      <c r="D2389" s="36"/>
      <c r="E2389" s="37"/>
      <c r="F2389" s="31" t="s">
        <v>572</v>
      </c>
      <c r="G2389" s="34" t="str">
        <f t="shared" si="43"/>
        <v/>
      </c>
      <c r="H2389" s="35"/>
      <c r="I2389" s="31"/>
      <c r="J2389" s="156">
        <v>0</v>
      </c>
    </row>
    <row r="2390" spans="1:10" ht="15.75" hidden="1" thickBot="1" x14ac:dyDescent="0.3">
      <c r="A2390" s="221" t="s">
        <v>787</v>
      </c>
      <c r="B2390" s="224" t="str">
        <f>INDEX(Orçamentária!A:B,MATCH(Composições!A2390,Orçamentária!A:A,0),2)</f>
        <v>Painel de distribuição (patch panel) de 24 portas, categoria 6</v>
      </c>
      <c r="C2390" s="41"/>
      <c r="D2390" s="26" t="str">
        <f>TRIM(INDEX(Orçamentária!C:C,MATCH(Composições!A2390,Orçamentária!A:A,0),1))</f>
        <v>un</v>
      </c>
      <c r="E2390" s="27"/>
      <c r="F2390" s="42" t="s">
        <v>572</v>
      </c>
      <c r="G2390" s="28" t="str">
        <f t="shared" si="43"/>
        <v/>
      </c>
      <c r="H2390" s="29"/>
      <c r="I2390" s="30"/>
      <c r="J2390" s="156">
        <v>0</v>
      </c>
    </row>
    <row r="2391" spans="1:10" ht="15.75" hidden="1" thickBot="1" x14ac:dyDescent="0.3">
      <c r="A2391" s="222"/>
      <c r="B2391" s="225"/>
      <c r="C2391" s="32"/>
      <c r="D2391" s="32"/>
      <c r="E2391" s="33"/>
      <c r="F2391" s="43" t="s">
        <v>572</v>
      </c>
      <c r="G2391" s="34" t="str">
        <f t="shared" si="43"/>
        <v/>
      </c>
      <c r="H2391" s="35"/>
      <c r="I2391" s="31"/>
      <c r="J2391" s="156">
        <v>0</v>
      </c>
    </row>
    <row r="2392" spans="1:10" ht="15.75" hidden="1" thickBot="1" x14ac:dyDescent="0.3">
      <c r="A2392" s="222"/>
      <c r="B2392" s="225"/>
      <c r="C2392" s="36" t="s">
        <v>74</v>
      </c>
      <c r="D2392" s="47" t="s">
        <v>12</v>
      </c>
      <c r="E2392" s="37">
        <f>6.2007</f>
        <v>6.2007000000000003</v>
      </c>
      <c r="F2392" s="31">
        <v>17.366</v>
      </c>
      <c r="G2392" s="34">
        <f t="shared" si="43"/>
        <v>107.68135620000001</v>
      </c>
      <c r="H2392" s="39">
        <f>SUM(G2392:G2395)</f>
        <v>245.75854380000001</v>
      </c>
      <c r="I2392" s="40"/>
      <c r="J2392" s="156">
        <v>0</v>
      </c>
    </row>
    <row r="2393" spans="1:10" ht="15.75" hidden="1" thickBot="1" x14ac:dyDescent="0.3">
      <c r="A2393" s="222"/>
      <c r="B2393" s="225"/>
      <c r="C2393" s="36" t="s">
        <v>30</v>
      </c>
      <c r="D2393" s="36" t="s">
        <v>12</v>
      </c>
      <c r="E2393" s="37">
        <f>6.2007</f>
        <v>6.2007000000000003</v>
      </c>
      <c r="F2393" s="31">
        <v>22.268000000000001</v>
      </c>
      <c r="G2393" s="34">
        <f t="shared" si="43"/>
        <v>138.0771876</v>
      </c>
      <c r="H2393" s="35"/>
      <c r="I2393" s="31"/>
      <c r="J2393" s="156">
        <v>0</v>
      </c>
    </row>
    <row r="2394" spans="1:10" ht="26.25" hidden="1" thickBot="1" x14ac:dyDescent="0.3">
      <c r="A2394" s="222"/>
      <c r="B2394" s="225"/>
      <c r="C2394" s="36" t="s">
        <v>788</v>
      </c>
      <c r="D2394" s="36" t="s">
        <v>20</v>
      </c>
      <c r="E2394" s="37">
        <v>1</v>
      </c>
      <c r="F2394" s="34" t="s">
        <v>572</v>
      </c>
      <c r="G2394" s="34" t="str">
        <f t="shared" si="43"/>
        <v/>
      </c>
      <c r="H2394" s="35"/>
      <c r="I2394" s="31"/>
      <c r="J2394" s="156">
        <v>0</v>
      </c>
    </row>
    <row r="2395" spans="1:10" ht="15.75" hidden="1" thickBot="1" x14ac:dyDescent="0.3">
      <c r="A2395" s="222"/>
      <c r="B2395" s="225"/>
      <c r="C2395" s="36" t="s">
        <v>785</v>
      </c>
      <c r="D2395" s="36" t="s">
        <v>150</v>
      </c>
      <c r="E2395" s="37">
        <v>24</v>
      </c>
      <c r="F2395" s="34" t="s">
        <v>572</v>
      </c>
      <c r="G2395" s="34" t="str">
        <f t="shared" si="43"/>
        <v/>
      </c>
      <c r="H2395" s="35"/>
      <c r="I2395" s="31"/>
      <c r="J2395" s="156">
        <v>0</v>
      </c>
    </row>
    <row r="2396" spans="1:10" ht="15.75" hidden="1" thickBot="1" x14ac:dyDescent="0.3">
      <c r="A2396" s="223"/>
      <c r="B2396" s="226"/>
      <c r="C2396" s="36"/>
      <c r="D2396" s="36"/>
      <c r="E2396" s="37"/>
      <c r="F2396" s="31" t="s">
        <v>572</v>
      </c>
      <c r="G2396" s="34" t="str">
        <f t="shared" si="43"/>
        <v/>
      </c>
      <c r="H2396" s="35"/>
      <c r="I2396" s="31"/>
      <c r="J2396" s="156">
        <v>0</v>
      </c>
    </row>
    <row r="2397" spans="1:10" ht="15.75" hidden="1" thickBot="1" x14ac:dyDescent="0.3">
      <c r="A2397" s="221" t="s">
        <v>789</v>
      </c>
      <c r="B2397" s="224" t="str">
        <f>INDEX(Orçamentária!A:B,MATCH(Composições!A2397,Orçamentária!A:A,0),2)</f>
        <v>Cabo de telefonia tipo CCI 50x2</v>
      </c>
      <c r="C2397" s="41"/>
      <c r="D2397" s="26" t="str">
        <f>TRIM(INDEX(Orçamentária!C:C,MATCH(Composições!A2397,Orçamentária!A:A,0),1))</f>
        <v>m</v>
      </c>
      <c r="E2397" s="27"/>
      <c r="F2397" s="42" t="s">
        <v>572</v>
      </c>
      <c r="G2397" s="28" t="str">
        <f t="shared" si="43"/>
        <v/>
      </c>
      <c r="H2397" s="29"/>
      <c r="I2397" s="30"/>
      <c r="J2397" s="156">
        <v>0</v>
      </c>
    </row>
    <row r="2398" spans="1:10" ht="15.75" hidden="1" thickBot="1" x14ac:dyDescent="0.3">
      <c r="A2398" s="227"/>
      <c r="B2398" s="225"/>
      <c r="C2398" s="32"/>
      <c r="D2398" s="32"/>
      <c r="E2398" s="33"/>
      <c r="F2398" s="43" t="s">
        <v>572</v>
      </c>
      <c r="G2398" s="34" t="str">
        <f t="shared" si="43"/>
        <v/>
      </c>
      <c r="H2398" s="35"/>
      <c r="I2398" s="31"/>
      <c r="J2398" s="156">
        <v>0</v>
      </c>
    </row>
    <row r="2399" spans="1:10" ht="15.75" hidden="1" thickBot="1" x14ac:dyDescent="0.3">
      <c r="A2399" s="227"/>
      <c r="B2399" s="225"/>
      <c r="C2399" s="36" t="s">
        <v>74</v>
      </c>
      <c r="D2399" s="47" t="s">
        <v>12</v>
      </c>
      <c r="E2399" s="37">
        <v>6.4100000000000004E-2</v>
      </c>
      <c r="F2399" s="31">
        <v>17.366</v>
      </c>
      <c r="G2399" s="34">
        <f t="shared" si="43"/>
        <v>1.1131606000000001</v>
      </c>
      <c r="H2399" s="39">
        <f>SUM(G2399:G2401)</f>
        <v>3.5779394</v>
      </c>
      <c r="I2399" s="40"/>
      <c r="J2399" s="156">
        <v>0</v>
      </c>
    </row>
    <row r="2400" spans="1:10" ht="15.75" hidden="1" thickBot="1" x14ac:dyDescent="0.3">
      <c r="A2400" s="227"/>
      <c r="B2400" s="225"/>
      <c r="C2400" s="36" t="s">
        <v>30</v>
      </c>
      <c r="D2400" s="36" t="s">
        <v>12</v>
      </c>
      <c r="E2400" s="37">
        <v>6.4100000000000004E-2</v>
      </c>
      <c r="F2400" s="31">
        <v>22.268000000000001</v>
      </c>
      <c r="G2400" s="34">
        <f t="shared" si="43"/>
        <v>1.4273788000000001</v>
      </c>
      <c r="H2400" s="35"/>
      <c r="I2400" s="31"/>
      <c r="J2400" s="156">
        <v>0</v>
      </c>
    </row>
    <row r="2401" spans="1:10" ht="26.25" hidden="1" thickBot="1" x14ac:dyDescent="0.3">
      <c r="A2401" s="227"/>
      <c r="B2401" s="225"/>
      <c r="C2401" s="36" t="s">
        <v>790</v>
      </c>
      <c r="D2401" s="36" t="s">
        <v>94</v>
      </c>
      <c r="E2401" s="37">
        <v>1.05</v>
      </c>
      <c r="F2401" s="34">
        <v>0.98799999999999999</v>
      </c>
      <c r="G2401" s="34">
        <f t="shared" si="43"/>
        <v>1.0374000000000001</v>
      </c>
      <c r="H2401" s="35"/>
      <c r="I2401" s="31"/>
      <c r="J2401" s="156">
        <v>0</v>
      </c>
    </row>
    <row r="2402" spans="1:10" ht="15.75" hidden="1" thickBot="1" x14ac:dyDescent="0.3">
      <c r="A2402" s="228"/>
      <c r="B2402" s="226"/>
      <c r="C2402" s="36"/>
      <c r="D2402" s="36"/>
      <c r="E2402" s="37"/>
      <c r="F2402" s="34" t="s">
        <v>572</v>
      </c>
      <c r="G2402" s="34" t="str">
        <f t="shared" si="43"/>
        <v/>
      </c>
      <c r="H2402" s="35"/>
      <c r="I2402" s="31"/>
      <c r="J2402" s="156">
        <v>0</v>
      </c>
    </row>
    <row r="2403" spans="1:10" ht="15.75" hidden="1" thickBot="1" x14ac:dyDescent="0.3">
      <c r="A2403" s="221" t="s">
        <v>791</v>
      </c>
      <c r="B2403" s="224" t="str">
        <f>INDEX(Orçamentária!A:B,MATCH(Composições!A2403,Orçamentária!A:A,0),2)</f>
        <v>Módulo (tomada) de rede RJ45, para telefonia</v>
      </c>
      <c r="C2403" s="41"/>
      <c r="D2403" s="26" t="str">
        <f>TRIM(INDEX(Orçamentária!C:C,MATCH(Composições!A2403,Orçamentária!A:A,0),1))</f>
        <v>un</v>
      </c>
      <c r="E2403" s="27"/>
      <c r="F2403" s="42" t="s">
        <v>572</v>
      </c>
      <c r="G2403" s="28" t="str">
        <f t="shared" si="43"/>
        <v/>
      </c>
      <c r="H2403" s="29"/>
      <c r="I2403" s="30"/>
      <c r="J2403" s="156">
        <v>0</v>
      </c>
    </row>
    <row r="2404" spans="1:10" ht="15.75" hidden="1" thickBot="1" x14ac:dyDescent="0.3">
      <c r="A2404" s="222"/>
      <c r="B2404" s="225"/>
      <c r="C2404" s="32"/>
      <c r="D2404" s="32"/>
      <c r="E2404" s="33"/>
      <c r="F2404" s="43" t="s">
        <v>572</v>
      </c>
      <c r="G2404" s="34" t="str">
        <f t="shared" si="43"/>
        <v/>
      </c>
      <c r="H2404" s="35"/>
      <c r="I2404" s="31"/>
      <c r="J2404" s="156">
        <v>0</v>
      </c>
    </row>
    <row r="2405" spans="1:10" ht="26.25" hidden="1" thickBot="1" x14ac:dyDescent="0.3">
      <c r="A2405" s="222"/>
      <c r="B2405" s="225"/>
      <c r="C2405" s="36" t="s">
        <v>792</v>
      </c>
      <c r="D2405" s="36" t="s">
        <v>150</v>
      </c>
      <c r="E2405" s="37">
        <v>1</v>
      </c>
      <c r="F2405" s="34" t="s">
        <v>572</v>
      </c>
      <c r="G2405" s="34" t="str">
        <f t="shared" si="43"/>
        <v/>
      </c>
      <c r="H2405" s="39">
        <f>SUM(G2405:G2408)</f>
        <v>34.763030799999996</v>
      </c>
      <c r="I2405" s="40"/>
      <c r="J2405" s="156">
        <v>0</v>
      </c>
    </row>
    <row r="2406" spans="1:10" ht="15.75" hidden="1" thickBot="1" x14ac:dyDescent="0.3">
      <c r="A2406" s="222"/>
      <c r="B2406" s="225"/>
      <c r="C2406" s="36" t="s">
        <v>793</v>
      </c>
      <c r="D2406" s="36" t="s">
        <v>299</v>
      </c>
      <c r="E2406" s="37">
        <v>1</v>
      </c>
      <c r="F2406" s="34">
        <v>26.590499999999999</v>
      </c>
      <c r="G2406" s="34">
        <f t="shared" si="43"/>
        <v>26.590499999999999</v>
      </c>
      <c r="H2406" s="35"/>
      <c r="I2406" s="31"/>
      <c r="J2406" s="156">
        <v>0</v>
      </c>
    </row>
    <row r="2407" spans="1:10" ht="15.75" hidden="1" thickBot="1" x14ac:dyDescent="0.3">
      <c r="A2407" s="222"/>
      <c r="B2407" s="225"/>
      <c r="C2407" s="36" t="s">
        <v>74</v>
      </c>
      <c r="D2407" s="47" t="s">
        <v>12</v>
      </c>
      <c r="E2407" s="37">
        <v>0.20619999999999999</v>
      </c>
      <c r="F2407" s="31">
        <v>17.366</v>
      </c>
      <c r="G2407" s="34">
        <f t="shared" si="43"/>
        <v>3.5808692</v>
      </c>
      <c r="H2407" s="35"/>
      <c r="I2407" s="31"/>
      <c r="J2407" s="156">
        <v>0</v>
      </c>
    </row>
    <row r="2408" spans="1:10" ht="15.75" hidden="1" thickBot="1" x14ac:dyDescent="0.3">
      <c r="A2408" s="222"/>
      <c r="B2408" s="225"/>
      <c r="C2408" s="36" t="s">
        <v>30</v>
      </c>
      <c r="D2408" s="36" t="s">
        <v>12</v>
      </c>
      <c r="E2408" s="37">
        <v>0.20619999999999999</v>
      </c>
      <c r="F2408" s="31">
        <v>22.268000000000001</v>
      </c>
      <c r="G2408" s="34">
        <f t="shared" si="43"/>
        <v>4.5916616000000001</v>
      </c>
      <c r="H2408" s="35"/>
      <c r="I2408" s="31"/>
      <c r="J2408" s="156">
        <v>0</v>
      </c>
    </row>
    <row r="2409" spans="1:10" ht="15.75" hidden="1" thickBot="1" x14ac:dyDescent="0.3">
      <c r="A2409" s="223"/>
      <c r="B2409" s="226"/>
      <c r="C2409" s="36"/>
      <c r="D2409" s="36"/>
      <c r="E2409" s="37"/>
      <c r="F2409" s="31" t="s">
        <v>572</v>
      </c>
      <c r="G2409" s="34" t="str">
        <f t="shared" si="43"/>
        <v/>
      </c>
      <c r="H2409" s="35"/>
      <c r="I2409" s="31"/>
      <c r="J2409" s="156">
        <v>0</v>
      </c>
    </row>
    <row r="2410" spans="1:10" ht="15.75" hidden="1" thickBot="1" x14ac:dyDescent="0.3">
      <c r="A2410" s="221" t="s">
        <v>794</v>
      </c>
      <c r="B2410" s="224" t="str">
        <f>INDEX(Orçamentária!A:B,MATCH(Composições!A2410,Orçamentária!A:A,0),2)</f>
        <v>Grelha para retorno para portas, divisórias e paredes 525x325 mm</v>
      </c>
      <c r="C2410" s="41"/>
      <c r="D2410" s="26" t="str">
        <f>TRIM(INDEX(Orçamentária!C:C,MATCH(Composições!A2410,Orçamentária!A:A,0),1))</f>
        <v>un</v>
      </c>
      <c r="E2410" s="27"/>
      <c r="F2410" s="42" t="s">
        <v>572</v>
      </c>
      <c r="G2410" s="28" t="str">
        <f t="shared" si="43"/>
        <v/>
      </c>
      <c r="H2410" s="29"/>
      <c r="I2410" s="30"/>
      <c r="J2410" s="156">
        <v>0</v>
      </c>
    </row>
    <row r="2411" spans="1:10" ht="15.75" hidden="1" thickBot="1" x14ac:dyDescent="0.3">
      <c r="A2411" s="222"/>
      <c r="B2411" s="225"/>
      <c r="C2411" s="32"/>
      <c r="D2411" s="32"/>
      <c r="E2411" s="33"/>
      <c r="F2411" s="43" t="s">
        <v>572</v>
      </c>
      <c r="G2411" s="34" t="str">
        <f t="shared" si="43"/>
        <v/>
      </c>
      <c r="H2411" s="35"/>
      <c r="I2411" s="31"/>
      <c r="J2411" s="156">
        <v>0</v>
      </c>
    </row>
    <row r="2412" spans="1:10" ht="15.75" hidden="1" thickBot="1" x14ac:dyDescent="0.3">
      <c r="A2412" s="222"/>
      <c r="B2412" s="225"/>
      <c r="C2412" s="36" t="s">
        <v>52</v>
      </c>
      <c r="D2412" s="47" t="s">
        <v>12</v>
      </c>
      <c r="E2412" s="37">
        <v>3.5</v>
      </c>
      <c r="F2412" s="31">
        <v>17.470500000000001</v>
      </c>
      <c r="G2412" s="34">
        <f t="shared" si="43"/>
        <v>61.146750000000004</v>
      </c>
      <c r="H2412" s="39">
        <f>SUM(G2412:G2414)</f>
        <v>141.87774999999999</v>
      </c>
      <c r="I2412" s="40"/>
      <c r="J2412" s="156">
        <v>0</v>
      </c>
    </row>
    <row r="2413" spans="1:10" ht="26.25" hidden="1" thickBot="1" x14ac:dyDescent="0.3">
      <c r="A2413" s="222"/>
      <c r="B2413" s="225"/>
      <c r="C2413" s="36" t="s">
        <v>623</v>
      </c>
      <c r="D2413" s="47" t="s">
        <v>12</v>
      </c>
      <c r="E2413" s="37">
        <v>3.5</v>
      </c>
      <c r="F2413" s="31">
        <v>23.065999999999999</v>
      </c>
      <c r="G2413" s="34">
        <f t="shared" si="43"/>
        <v>80.730999999999995</v>
      </c>
      <c r="H2413" s="35"/>
      <c r="I2413" s="31"/>
      <c r="J2413" s="156">
        <v>0</v>
      </c>
    </row>
    <row r="2414" spans="1:10" ht="26.25" hidden="1" thickBot="1" x14ac:dyDescent="0.3">
      <c r="A2414" s="222"/>
      <c r="B2414" s="225"/>
      <c r="C2414" s="36" t="s">
        <v>795</v>
      </c>
      <c r="D2414" s="36" t="s">
        <v>150</v>
      </c>
      <c r="E2414" s="37">
        <v>1</v>
      </c>
      <c r="F2414" s="34" t="s">
        <v>572</v>
      </c>
      <c r="G2414" s="34" t="str">
        <f t="shared" si="43"/>
        <v/>
      </c>
      <c r="H2414" s="35"/>
      <c r="I2414" s="31"/>
      <c r="J2414" s="156">
        <v>0</v>
      </c>
    </row>
    <row r="2415" spans="1:10" ht="15.75" hidden="1" thickBot="1" x14ac:dyDescent="0.3">
      <c r="A2415" s="223"/>
      <c r="B2415" s="226"/>
      <c r="C2415" s="36"/>
      <c r="D2415" s="36"/>
      <c r="E2415" s="37"/>
      <c r="F2415" s="31" t="s">
        <v>572</v>
      </c>
      <c r="G2415" s="34" t="str">
        <f t="shared" si="43"/>
        <v/>
      </c>
      <c r="H2415" s="35"/>
      <c r="I2415" s="31"/>
      <c r="J2415" s="156">
        <v>0</v>
      </c>
    </row>
    <row r="2416" spans="1:10" ht="15.75" hidden="1" thickBot="1" x14ac:dyDescent="0.3">
      <c r="A2416" s="221" t="s">
        <v>1981</v>
      </c>
      <c r="B2416" s="224" t="str">
        <f>INDEX(Orçamentária!A:B,MATCH(Composições!A2416,Orçamentária!A:A,0),2)</f>
        <v>Thinner</v>
      </c>
      <c r="C2416" s="41"/>
      <c r="D2416" s="26" t="str">
        <f>TRIM(INDEX(Orçamentária!C:C,MATCH(Composições!A2416,Orçamentária!A:A,0),1))</f>
        <v>Litro</v>
      </c>
      <c r="E2416" s="27"/>
      <c r="F2416" s="42" t="s">
        <v>572</v>
      </c>
      <c r="G2416" s="28" t="str">
        <f t="shared" si="43"/>
        <v/>
      </c>
      <c r="H2416" s="29"/>
      <c r="I2416" s="30"/>
      <c r="J2416" s="156">
        <v>0</v>
      </c>
    </row>
    <row r="2417" spans="1:10" ht="15.75" hidden="1" thickBot="1" x14ac:dyDescent="0.3">
      <c r="A2417" s="222"/>
      <c r="B2417" s="225"/>
      <c r="C2417" s="32"/>
      <c r="D2417" s="32"/>
      <c r="E2417" s="33"/>
      <c r="F2417" s="43" t="s">
        <v>572</v>
      </c>
      <c r="G2417" s="34" t="str">
        <f t="shared" si="43"/>
        <v/>
      </c>
      <c r="H2417" s="35"/>
      <c r="I2417" s="31"/>
      <c r="J2417" s="156">
        <v>0</v>
      </c>
    </row>
    <row r="2418" spans="1:10" ht="15.75" hidden="1" thickBot="1" x14ac:dyDescent="0.3">
      <c r="A2418" s="222"/>
      <c r="B2418" s="225"/>
      <c r="C2418" s="36" t="s">
        <v>3472</v>
      </c>
      <c r="D2418" s="47" t="s">
        <v>105</v>
      </c>
      <c r="E2418" s="37">
        <v>1</v>
      </c>
      <c r="F2418" s="31" t="s">
        <v>572</v>
      </c>
      <c r="G2418" s="34" t="str">
        <f t="shared" si="43"/>
        <v/>
      </c>
      <c r="H2418" s="39">
        <f>SUM(G2418:G2418)</f>
        <v>0</v>
      </c>
      <c r="I2418" s="40"/>
      <c r="J2418" s="156">
        <v>0</v>
      </c>
    </row>
    <row r="2419" spans="1:10" ht="15.75" hidden="1" thickBot="1" x14ac:dyDescent="0.3">
      <c r="A2419" s="223"/>
      <c r="B2419" s="226"/>
      <c r="C2419" s="36"/>
      <c r="D2419" s="36"/>
      <c r="E2419" s="37"/>
      <c r="F2419" s="31" t="s">
        <v>572</v>
      </c>
      <c r="G2419" s="34" t="str">
        <f t="shared" si="43"/>
        <v/>
      </c>
      <c r="H2419" s="35"/>
      <c r="I2419" s="31"/>
      <c r="J2419" s="156">
        <v>0</v>
      </c>
    </row>
    <row r="2420" spans="1:10" ht="15.75" hidden="1" thickBot="1" x14ac:dyDescent="0.3">
      <c r="A2420" s="221" t="s">
        <v>2017</v>
      </c>
      <c r="B2420" s="224" t="str">
        <f>INDEX(Orçamentária!A:B,MATCH(Composições!A2420,Orçamentária!A:A,0),2)</f>
        <v>Dobradiça para porta com anel</v>
      </c>
      <c r="C2420" s="41"/>
      <c r="D2420" s="26" t="str">
        <f>TRIM(INDEX(Orçamentária!C:C,MATCH(Composições!A2420,Orçamentária!A:A,0),1))</f>
        <v>un</v>
      </c>
      <c r="E2420" s="27"/>
      <c r="F2420" s="42" t="s">
        <v>572</v>
      </c>
      <c r="G2420" s="28" t="str">
        <f t="shared" si="43"/>
        <v/>
      </c>
      <c r="H2420" s="29"/>
      <c r="I2420" s="30"/>
      <c r="J2420" s="156">
        <v>0</v>
      </c>
    </row>
    <row r="2421" spans="1:10" ht="15.75" hidden="1" thickBot="1" x14ac:dyDescent="0.3">
      <c r="A2421" s="222"/>
      <c r="B2421" s="225"/>
      <c r="C2421" s="32"/>
      <c r="D2421" s="32"/>
      <c r="E2421" s="33"/>
      <c r="F2421" s="43" t="s">
        <v>572</v>
      </c>
      <c r="G2421" s="34" t="str">
        <f t="shared" si="43"/>
        <v/>
      </c>
      <c r="H2421" s="35"/>
      <c r="I2421" s="31"/>
      <c r="J2421" s="156">
        <v>0</v>
      </c>
    </row>
    <row r="2422" spans="1:10" ht="26.25" hidden="1" thickBot="1" x14ac:dyDescent="0.3">
      <c r="A2422" s="222"/>
      <c r="B2422" s="225"/>
      <c r="C2422" s="36" t="s">
        <v>3454</v>
      </c>
      <c r="D2422" s="36" t="s">
        <v>299</v>
      </c>
      <c r="E2422" s="37">
        <v>1</v>
      </c>
      <c r="F2422" s="31">
        <v>14.782</v>
      </c>
      <c r="G2422" s="34">
        <f t="shared" si="43"/>
        <v>14.782</v>
      </c>
      <c r="H2422" s="39">
        <f>SUM(G2422:G2422)</f>
        <v>14.782</v>
      </c>
      <c r="I2422" s="40"/>
      <c r="J2422" s="156">
        <v>0</v>
      </c>
    </row>
    <row r="2423" spans="1:10" ht="15.75" hidden="1" thickBot="1" x14ac:dyDescent="0.3">
      <c r="A2423" s="223"/>
      <c r="B2423" s="226"/>
      <c r="C2423" s="36"/>
      <c r="D2423" s="36"/>
      <c r="E2423" s="37"/>
      <c r="F2423" s="31" t="s">
        <v>572</v>
      </c>
      <c r="G2423" s="34" t="str">
        <f t="shared" si="43"/>
        <v/>
      </c>
      <c r="H2423" s="35"/>
      <c r="I2423" s="31"/>
      <c r="J2423" s="156">
        <v>0</v>
      </c>
    </row>
    <row r="2424" spans="1:10" ht="15.75" hidden="1" thickBot="1" x14ac:dyDescent="0.3">
      <c r="A2424" s="221" t="s">
        <v>2021</v>
      </c>
      <c r="B2424" s="224" t="str">
        <f>INDEX(Orçamentária!A:B,MATCH(Composições!A2424,Orçamentária!A:A,0),2)</f>
        <v>Fechadura para porta externa maçaneta em barra (fornecimento)</v>
      </c>
      <c r="C2424" s="41"/>
      <c r="D2424" s="26" t="str">
        <f>TRIM(INDEX(Orçamentária!C:C,MATCH(Composições!A2424,Orçamentária!A:A,0),1))</f>
        <v>un</v>
      </c>
      <c r="E2424" s="27"/>
      <c r="F2424" s="42" t="s">
        <v>572</v>
      </c>
      <c r="G2424" s="28" t="str">
        <f t="shared" si="43"/>
        <v/>
      </c>
      <c r="H2424" s="29"/>
      <c r="I2424" s="30"/>
      <c r="J2424" s="156">
        <v>0</v>
      </c>
    </row>
    <row r="2425" spans="1:10" ht="15.75" hidden="1" thickBot="1" x14ac:dyDescent="0.3">
      <c r="A2425" s="222"/>
      <c r="B2425" s="225"/>
      <c r="C2425" s="32"/>
      <c r="D2425" s="32"/>
      <c r="E2425" s="33"/>
      <c r="F2425" s="43" t="s">
        <v>572</v>
      </c>
      <c r="G2425" s="34" t="str">
        <f t="shared" si="43"/>
        <v/>
      </c>
      <c r="H2425" s="35"/>
      <c r="I2425" s="31"/>
      <c r="J2425" s="156">
        <v>0</v>
      </c>
    </row>
    <row r="2426" spans="1:10" ht="51.75" hidden="1" thickBot="1" x14ac:dyDescent="0.3">
      <c r="A2426" s="222"/>
      <c r="B2426" s="225"/>
      <c r="C2426" s="36" t="s">
        <v>3813</v>
      </c>
      <c r="D2426" s="47" t="s">
        <v>797</v>
      </c>
      <c r="E2426" s="37">
        <v>1</v>
      </c>
      <c r="F2426" s="31">
        <v>56.904999999999994</v>
      </c>
      <c r="G2426" s="34">
        <f t="shared" si="43"/>
        <v>56.904999999999994</v>
      </c>
      <c r="H2426" s="39">
        <f>SUM(G2426:G2426)</f>
        <v>56.904999999999994</v>
      </c>
      <c r="I2426" s="40"/>
      <c r="J2426" s="156">
        <v>0</v>
      </c>
    </row>
    <row r="2427" spans="1:10" ht="15.75" hidden="1" thickBot="1" x14ac:dyDescent="0.3">
      <c r="A2427" s="223"/>
      <c r="B2427" s="226"/>
      <c r="C2427" s="36"/>
      <c r="D2427" s="36"/>
      <c r="E2427" s="37"/>
      <c r="F2427" s="31" t="s">
        <v>572</v>
      </c>
      <c r="G2427" s="34" t="str">
        <f t="shared" si="43"/>
        <v/>
      </c>
      <c r="H2427" s="35"/>
      <c r="I2427" s="31"/>
      <c r="J2427" s="156">
        <v>0</v>
      </c>
    </row>
    <row r="2428" spans="1:10" ht="15.75" hidden="1" thickBot="1" x14ac:dyDescent="0.3">
      <c r="A2428" s="221" t="s">
        <v>796</v>
      </c>
      <c r="B2428" s="224" t="str">
        <f>INDEX(Orçamentária!A:B,MATCH(Composições!A2428,Orçamentária!A:A,0),2)</f>
        <v>Fechadura para Porta Externa com Espelho - Millenio</v>
      </c>
      <c r="C2428" s="41"/>
      <c r="D2428" s="26" t="str">
        <f>TRIM(INDEX(Orçamentária!C:C,MATCH(Composições!A2428,Orçamentária!A:A,0),1))</f>
        <v>un</v>
      </c>
      <c r="E2428" s="27"/>
      <c r="F2428" s="42" t="s">
        <v>572</v>
      </c>
      <c r="G2428" s="28" t="str">
        <f t="shared" si="43"/>
        <v/>
      </c>
      <c r="H2428" s="29"/>
      <c r="I2428" s="30"/>
      <c r="J2428" s="156">
        <v>0</v>
      </c>
    </row>
    <row r="2429" spans="1:10" ht="15.75" hidden="1" thickBot="1" x14ac:dyDescent="0.3">
      <c r="A2429" s="222"/>
      <c r="B2429" s="225"/>
      <c r="C2429" s="32"/>
      <c r="D2429" s="32"/>
      <c r="E2429" s="33"/>
      <c r="F2429" s="43" t="s">
        <v>572</v>
      </c>
      <c r="G2429" s="34" t="str">
        <f t="shared" si="43"/>
        <v/>
      </c>
      <c r="H2429" s="35"/>
      <c r="I2429" s="31"/>
      <c r="J2429" s="156">
        <v>0</v>
      </c>
    </row>
    <row r="2430" spans="1:10" ht="39" hidden="1" thickBot="1" x14ac:dyDescent="0.3">
      <c r="A2430" s="222"/>
      <c r="B2430" s="225"/>
      <c r="C2430" s="36" t="s">
        <v>3458</v>
      </c>
      <c r="D2430" s="47" t="s">
        <v>797</v>
      </c>
      <c r="E2430" s="37">
        <v>1</v>
      </c>
      <c r="F2430" s="31">
        <v>73.957499999999996</v>
      </c>
      <c r="G2430" s="34">
        <f t="shared" si="43"/>
        <v>73.957499999999996</v>
      </c>
      <c r="H2430" s="39">
        <f>SUM(G2430:G2430)</f>
        <v>73.957499999999996</v>
      </c>
      <c r="I2430" s="40"/>
      <c r="J2430" s="156">
        <v>0</v>
      </c>
    </row>
    <row r="2431" spans="1:10" ht="15.75" hidden="1" thickBot="1" x14ac:dyDescent="0.3">
      <c r="A2431" s="223"/>
      <c r="B2431" s="226"/>
      <c r="C2431" s="36"/>
      <c r="D2431" s="36"/>
      <c r="E2431" s="37"/>
      <c r="F2431" s="31" t="s">
        <v>572</v>
      </c>
      <c r="G2431" s="34" t="str">
        <f t="shared" si="43"/>
        <v/>
      </c>
      <c r="H2431" s="35"/>
      <c r="I2431" s="31"/>
      <c r="J2431" s="156">
        <v>0</v>
      </c>
    </row>
    <row r="2432" spans="1:10" ht="15.75" hidden="1" thickBot="1" x14ac:dyDescent="0.3">
      <c r="A2432" s="221" t="s">
        <v>2024</v>
      </c>
      <c r="B2432" s="224" t="str">
        <f>INDEX(Orçamentária!A:B,MATCH(Composições!A2432,Orçamentária!A:A,0),2)</f>
        <v>Fechadura para Porta de Banheiro com Espelho - Millenio</v>
      </c>
      <c r="C2432" s="41"/>
      <c r="D2432" s="26" t="str">
        <f>TRIM(INDEX(Orçamentária!C:C,MATCH(Composições!A2432,Orçamentária!A:A,0),1))</f>
        <v>un</v>
      </c>
      <c r="E2432" s="27"/>
      <c r="F2432" s="42" t="s">
        <v>572</v>
      </c>
      <c r="G2432" s="28" t="str">
        <f t="shared" si="43"/>
        <v/>
      </c>
      <c r="H2432" s="29"/>
      <c r="I2432" s="30"/>
      <c r="J2432" s="156">
        <v>0</v>
      </c>
    </row>
    <row r="2433" spans="1:10" ht="15.75" hidden="1" thickBot="1" x14ac:dyDescent="0.3">
      <c r="A2433" s="222"/>
      <c r="B2433" s="225"/>
      <c r="C2433" s="32"/>
      <c r="D2433" s="32"/>
      <c r="E2433" s="33"/>
      <c r="F2433" s="43" t="s">
        <v>572</v>
      </c>
      <c r="G2433" s="34" t="str">
        <f t="shared" si="43"/>
        <v/>
      </c>
      <c r="H2433" s="35"/>
      <c r="I2433" s="31"/>
      <c r="J2433" s="156">
        <v>0</v>
      </c>
    </row>
    <row r="2434" spans="1:10" ht="39" hidden="1" thickBot="1" x14ac:dyDescent="0.3">
      <c r="A2434" s="222"/>
      <c r="B2434" s="225"/>
      <c r="C2434" s="36" t="s">
        <v>3457</v>
      </c>
      <c r="D2434" s="47" t="s">
        <v>797</v>
      </c>
      <c r="E2434" s="37">
        <v>1</v>
      </c>
      <c r="F2434" s="31">
        <v>44.744999999999997</v>
      </c>
      <c r="G2434" s="34">
        <f t="shared" si="43"/>
        <v>44.744999999999997</v>
      </c>
      <c r="H2434" s="39">
        <f>SUM(G2434:G2434)</f>
        <v>44.744999999999997</v>
      </c>
      <c r="I2434" s="40"/>
      <c r="J2434" s="156">
        <v>0</v>
      </c>
    </row>
    <row r="2435" spans="1:10" ht="15.75" hidden="1" thickBot="1" x14ac:dyDescent="0.3">
      <c r="A2435" s="223"/>
      <c r="B2435" s="226"/>
      <c r="C2435" s="36"/>
      <c r="D2435" s="36"/>
      <c r="E2435" s="37"/>
      <c r="F2435" s="31" t="s">
        <v>572</v>
      </c>
      <c r="G2435" s="34" t="str">
        <f t="shared" si="43"/>
        <v/>
      </c>
      <c r="H2435" s="35"/>
      <c r="I2435" s="31"/>
      <c r="J2435" s="156">
        <v>0</v>
      </c>
    </row>
    <row r="2436" spans="1:10" ht="15.75" hidden="1" thickBot="1" x14ac:dyDescent="0.3">
      <c r="A2436" s="221" t="s">
        <v>2028</v>
      </c>
      <c r="B2436" s="224" t="str">
        <f>INDEX(Orçamentária!A:B,MATCH(Composições!A2436,Orçamentária!A:A,0),2)</f>
        <v>Tarjeta Livre / Ocupado para portas de banheiro</v>
      </c>
      <c r="C2436" s="41"/>
      <c r="D2436" s="26" t="str">
        <f>TRIM(INDEX(Orçamentária!C:C,MATCH(Composições!A2436,Orçamentária!A:A,0),1))</f>
        <v>un</v>
      </c>
      <c r="E2436" s="27"/>
      <c r="F2436" s="42" t="s">
        <v>572</v>
      </c>
      <c r="G2436" s="28" t="str">
        <f t="shared" si="43"/>
        <v/>
      </c>
      <c r="H2436" s="29"/>
      <c r="I2436" s="30"/>
      <c r="J2436" s="156">
        <v>0</v>
      </c>
    </row>
    <row r="2437" spans="1:10" ht="15.75" hidden="1" thickBot="1" x14ac:dyDescent="0.3">
      <c r="A2437" s="222"/>
      <c r="B2437" s="225"/>
      <c r="C2437" s="32"/>
      <c r="D2437" s="32"/>
      <c r="E2437" s="33"/>
      <c r="F2437" s="43" t="s">
        <v>572</v>
      </c>
      <c r="G2437" s="34" t="str">
        <f t="shared" si="43"/>
        <v/>
      </c>
      <c r="H2437" s="35"/>
      <c r="I2437" s="31"/>
      <c r="J2437" s="156">
        <v>0</v>
      </c>
    </row>
    <row r="2438" spans="1:10" ht="26.25" hidden="1" thickBot="1" x14ac:dyDescent="0.3">
      <c r="A2438" s="222"/>
      <c r="B2438" s="225"/>
      <c r="C2438" s="36" t="s">
        <v>3822</v>
      </c>
      <c r="D2438" s="36" t="s">
        <v>299</v>
      </c>
      <c r="E2438" s="37">
        <v>1</v>
      </c>
      <c r="F2438" s="31">
        <v>38.826499999999996</v>
      </c>
      <c r="G2438" s="34">
        <f t="shared" si="43"/>
        <v>38.826499999999996</v>
      </c>
      <c r="H2438" s="39">
        <f>SUM(G2438:G2438)</f>
        <v>38.826499999999996</v>
      </c>
      <c r="I2438" s="40"/>
      <c r="J2438" s="156">
        <v>0</v>
      </c>
    </row>
    <row r="2439" spans="1:10" ht="15.75" hidden="1" thickBot="1" x14ac:dyDescent="0.3">
      <c r="A2439" s="223"/>
      <c r="B2439" s="226"/>
      <c r="C2439" s="36"/>
      <c r="D2439" s="36"/>
      <c r="E2439" s="37"/>
      <c r="F2439" s="31" t="s">
        <v>572</v>
      </c>
      <c r="G2439" s="34" t="str">
        <f t="shared" si="43"/>
        <v/>
      </c>
      <c r="H2439" s="35"/>
      <c r="I2439" s="31"/>
      <c r="J2439" s="156">
        <v>0</v>
      </c>
    </row>
    <row r="2440" spans="1:10" ht="15.75" hidden="1" thickBot="1" x14ac:dyDescent="0.3">
      <c r="A2440" s="221" t="s">
        <v>2034</v>
      </c>
      <c r="B2440" s="224" t="str">
        <f>INDEX(Orçamentária!A:B,MATCH(Composições!A2440,Orçamentária!A:A,0),2)</f>
        <v>Fechadura de embutir para armário e gaveta</v>
      </c>
      <c r="C2440" s="41"/>
      <c r="D2440" s="26" t="str">
        <f>TRIM(INDEX(Orçamentária!C:C,MATCH(Composições!A2440,Orçamentária!A:A,0),1))</f>
        <v>un</v>
      </c>
      <c r="E2440" s="27"/>
      <c r="F2440" s="42" t="s">
        <v>572</v>
      </c>
      <c r="G2440" s="28" t="str">
        <f t="shared" si="43"/>
        <v/>
      </c>
      <c r="H2440" s="29"/>
      <c r="I2440" s="30"/>
      <c r="J2440" s="156">
        <v>0</v>
      </c>
    </row>
    <row r="2441" spans="1:10" ht="15.75" hidden="1" thickBot="1" x14ac:dyDescent="0.3">
      <c r="A2441" s="222"/>
      <c r="B2441" s="225"/>
      <c r="C2441" s="32"/>
      <c r="D2441" s="32"/>
      <c r="E2441" s="33"/>
      <c r="F2441" s="43" t="s">
        <v>572</v>
      </c>
      <c r="G2441" s="34" t="str">
        <f t="shared" si="43"/>
        <v/>
      </c>
      <c r="H2441" s="35"/>
      <c r="I2441" s="31"/>
      <c r="J2441" s="156">
        <v>0</v>
      </c>
    </row>
    <row r="2442" spans="1:10" ht="39" hidden="1" thickBot="1" x14ac:dyDescent="0.3">
      <c r="A2442" s="222"/>
      <c r="B2442" s="225"/>
      <c r="C2442" s="36" t="s">
        <v>3459</v>
      </c>
      <c r="D2442" s="36" t="s">
        <v>299</v>
      </c>
      <c r="E2442" s="37">
        <v>1</v>
      </c>
      <c r="F2442" s="31">
        <v>11.2385</v>
      </c>
      <c r="G2442" s="34">
        <f t="shared" si="43"/>
        <v>11.2385</v>
      </c>
      <c r="H2442" s="39">
        <f>SUM(G2442:G2442)</f>
        <v>11.2385</v>
      </c>
      <c r="I2442" s="40"/>
      <c r="J2442" s="156">
        <v>0</v>
      </c>
    </row>
    <row r="2443" spans="1:10" ht="15.75" hidden="1" thickBot="1" x14ac:dyDescent="0.3">
      <c r="A2443" s="223"/>
      <c r="B2443" s="226"/>
      <c r="C2443" s="36"/>
      <c r="D2443" s="36"/>
      <c r="E2443" s="37"/>
      <c r="F2443" s="31" t="s">
        <v>572</v>
      </c>
      <c r="G2443" s="34" t="str">
        <f t="shared" si="43"/>
        <v/>
      </c>
      <c r="H2443" s="35"/>
      <c r="I2443" s="31"/>
      <c r="J2443" s="156">
        <v>0</v>
      </c>
    </row>
    <row r="2444" spans="1:10" ht="15.75" hidden="1" thickBot="1" x14ac:dyDescent="0.3">
      <c r="A2444" s="221" t="s">
        <v>2036</v>
      </c>
      <c r="B2444" s="224" t="str">
        <f>INDEX(Orçamentária!A:B,MATCH(Composições!A2444,Orçamentária!A:A,0),2)</f>
        <v>Fechadura de embutir para móveis – Fechamento Superior - Referência 861</v>
      </c>
      <c r="C2444" s="41"/>
      <c r="D2444" s="26" t="str">
        <f>TRIM(INDEX(Orçamentária!C:C,MATCH(Composições!A2444,Orçamentária!A:A,0),1))</f>
        <v>un</v>
      </c>
      <c r="E2444" s="27"/>
      <c r="F2444" s="42" t="s">
        <v>572</v>
      </c>
      <c r="G2444" s="28" t="str">
        <f t="shared" si="43"/>
        <v/>
      </c>
      <c r="H2444" s="29"/>
      <c r="I2444" s="30"/>
      <c r="J2444" s="156">
        <v>0</v>
      </c>
    </row>
    <row r="2445" spans="1:10" ht="15.75" hidden="1" thickBot="1" x14ac:dyDescent="0.3">
      <c r="A2445" s="222"/>
      <c r="B2445" s="225"/>
      <c r="C2445" s="32"/>
      <c r="D2445" s="32"/>
      <c r="E2445" s="33"/>
      <c r="F2445" s="43" t="s">
        <v>572</v>
      </c>
      <c r="G2445" s="34" t="str">
        <f t="shared" si="43"/>
        <v/>
      </c>
      <c r="H2445" s="35"/>
      <c r="I2445" s="31"/>
      <c r="J2445" s="156">
        <v>0</v>
      </c>
    </row>
    <row r="2446" spans="1:10" ht="39" hidden="1" thickBot="1" x14ac:dyDescent="0.3">
      <c r="A2446" s="222"/>
      <c r="B2446" s="225"/>
      <c r="C2446" s="36" t="s">
        <v>3460</v>
      </c>
      <c r="D2446" s="36" t="s">
        <v>299</v>
      </c>
      <c r="E2446" s="37">
        <v>1</v>
      </c>
      <c r="F2446" s="31">
        <v>11.228999999999999</v>
      </c>
      <c r="G2446" s="34">
        <f t="shared" si="43"/>
        <v>11.228999999999999</v>
      </c>
      <c r="H2446" s="39">
        <f>SUM(G2446:G2446)</f>
        <v>11.228999999999999</v>
      </c>
      <c r="I2446" s="40"/>
      <c r="J2446" s="156">
        <v>0</v>
      </c>
    </row>
    <row r="2447" spans="1:10" ht="15.75" hidden="1" thickBot="1" x14ac:dyDescent="0.3">
      <c r="A2447" s="223"/>
      <c r="B2447" s="226"/>
      <c r="C2447" s="36"/>
      <c r="D2447" s="36"/>
      <c r="E2447" s="37"/>
      <c r="F2447" s="31" t="s">
        <v>572</v>
      </c>
      <c r="G2447" s="34" t="str">
        <f t="shared" si="43"/>
        <v/>
      </c>
      <c r="H2447" s="35"/>
      <c r="I2447" s="31"/>
      <c r="J2447" s="156">
        <v>0</v>
      </c>
    </row>
    <row r="2448" spans="1:10" ht="15.75" hidden="1" thickBot="1" x14ac:dyDescent="0.3">
      <c r="A2448" s="221" t="s">
        <v>2038</v>
      </c>
      <c r="B2448" s="224" t="str">
        <f>INDEX(Orçamentária!A:B,MATCH(Composições!A2448,Orçamentária!A:A,0),2)</f>
        <v>Fechadura de embutir para móveis – Fechamento lateral - Referência 871</v>
      </c>
      <c r="C2448" s="41"/>
      <c r="D2448" s="26" t="str">
        <f>TRIM(INDEX(Orçamentária!C:C,MATCH(Composições!A2448,Orçamentária!A:A,0),1))</f>
        <v>un</v>
      </c>
      <c r="E2448" s="27"/>
      <c r="F2448" s="42" t="s">
        <v>572</v>
      </c>
      <c r="G2448" s="28" t="str">
        <f t="shared" si="43"/>
        <v/>
      </c>
      <c r="H2448" s="29"/>
      <c r="I2448" s="30"/>
      <c r="J2448" s="156">
        <v>0</v>
      </c>
    </row>
    <row r="2449" spans="1:10" ht="15.75" hidden="1" thickBot="1" x14ac:dyDescent="0.3">
      <c r="A2449" s="222"/>
      <c r="B2449" s="225"/>
      <c r="C2449" s="32"/>
      <c r="D2449" s="32"/>
      <c r="E2449" s="33"/>
      <c r="F2449" s="43" t="s">
        <v>572</v>
      </c>
      <c r="G2449" s="34" t="str">
        <f t="shared" si="43"/>
        <v/>
      </c>
      <c r="H2449" s="35"/>
      <c r="I2449" s="31"/>
      <c r="J2449" s="156">
        <v>0</v>
      </c>
    </row>
    <row r="2450" spans="1:10" ht="39" hidden="1" thickBot="1" x14ac:dyDescent="0.3">
      <c r="A2450" s="222"/>
      <c r="B2450" s="225"/>
      <c r="C2450" s="36" t="s">
        <v>3460</v>
      </c>
      <c r="D2450" s="36" t="s">
        <v>299</v>
      </c>
      <c r="E2450" s="37">
        <v>1</v>
      </c>
      <c r="F2450" s="31">
        <v>11.228999999999999</v>
      </c>
      <c r="G2450" s="34">
        <f t="shared" ref="G2450:G2513" si="44">IF(ISNUMBER(F2450),E2450*F2450,"")</f>
        <v>11.228999999999999</v>
      </c>
      <c r="H2450" s="39">
        <f>SUM(G2450:G2450)</f>
        <v>11.228999999999999</v>
      </c>
      <c r="I2450" s="40"/>
      <c r="J2450" s="156">
        <v>0</v>
      </c>
    </row>
    <row r="2451" spans="1:10" ht="15.75" hidden="1" thickBot="1" x14ac:dyDescent="0.3">
      <c r="A2451" s="223"/>
      <c r="B2451" s="226"/>
      <c r="C2451" s="36"/>
      <c r="D2451" s="36"/>
      <c r="E2451" s="37"/>
      <c r="F2451" s="31" t="s">
        <v>572</v>
      </c>
      <c r="G2451" s="34" t="str">
        <f t="shared" si="44"/>
        <v/>
      </c>
      <c r="H2451" s="35"/>
      <c r="I2451" s="31"/>
      <c r="J2451" s="156">
        <v>0</v>
      </c>
    </row>
    <row r="2452" spans="1:10" ht="15.75" hidden="1" thickBot="1" x14ac:dyDescent="0.3">
      <c r="A2452" s="221" t="s">
        <v>2093</v>
      </c>
      <c r="B2452" s="224" t="str">
        <f>INDEX(Orçamentária!A:B,MATCH(Composições!A2452,Orçamentária!A:A,0),2)</f>
        <v>Puxador alça 102mm</v>
      </c>
      <c r="C2452" s="41"/>
      <c r="D2452" s="26" t="str">
        <f>TRIM(INDEX(Orçamentária!C:C,MATCH(Composições!A2452,Orçamentária!A:A,0),1))</f>
        <v>un</v>
      </c>
      <c r="E2452" s="27"/>
      <c r="F2452" s="42" t="s">
        <v>572</v>
      </c>
      <c r="G2452" s="28" t="str">
        <f t="shared" si="44"/>
        <v/>
      </c>
      <c r="H2452" s="29"/>
      <c r="I2452" s="30"/>
      <c r="J2452" s="156">
        <v>0</v>
      </c>
    </row>
    <row r="2453" spans="1:10" ht="15.75" hidden="1" thickBot="1" x14ac:dyDescent="0.3">
      <c r="A2453" s="222"/>
      <c r="B2453" s="225"/>
      <c r="C2453" s="32"/>
      <c r="D2453" s="32"/>
      <c r="E2453" s="33"/>
      <c r="F2453" s="43" t="s">
        <v>572</v>
      </c>
      <c r="G2453" s="34" t="str">
        <f t="shared" si="44"/>
        <v/>
      </c>
      <c r="H2453" s="35"/>
      <c r="I2453" s="31"/>
      <c r="J2453" s="156">
        <v>0</v>
      </c>
    </row>
    <row r="2454" spans="1:10" ht="39" hidden="1" thickBot="1" x14ac:dyDescent="0.3">
      <c r="A2454" s="222"/>
      <c r="B2454" s="225"/>
      <c r="C2454" s="36" t="s">
        <v>3821</v>
      </c>
      <c r="D2454" s="36" t="s">
        <v>299</v>
      </c>
      <c r="E2454" s="37">
        <v>1</v>
      </c>
      <c r="F2454" s="31">
        <v>17.195</v>
      </c>
      <c r="G2454" s="34">
        <f t="shared" si="44"/>
        <v>17.195</v>
      </c>
      <c r="H2454" s="39">
        <f>SUM(G2454:G2454)</f>
        <v>17.195</v>
      </c>
      <c r="I2454" s="40"/>
      <c r="J2454" s="156">
        <v>0</v>
      </c>
    </row>
    <row r="2455" spans="1:10" ht="15.75" hidden="1" thickBot="1" x14ac:dyDescent="0.3">
      <c r="A2455" s="223"/>
      <c r="B2455" s="226"/>
      <c r="C2455" s="36"/>
      <c r="D2455" s="36"/>
      <c r="E2455" s="37"/>
      <c r="F2455" s="31" t="s">
        <v>572</v>
      </c>
      <c r="G2455" s="34" t="str">
        <f t="shared" si="44"/>
        <v/>
      </c>
      <c r="H2455" s="35"/>
      <c r="I2455" s="31"/>
      <c r="J2455" s="156">
        <v>0</v>
      </c>
    </row>
    <row r="2456" spans="1:10" ht="15.75" thickBot="1" x14ac:dyDescent="0.3">
      <c r="A2456" s="221" t="s">
        <v>798</v>
      </c>
      <c r="B2456" s="224" t="str">
        <f>INDEX(Orçamentária!A:B,MATCH(Composições!A2456,Orçamentária!A:A,0),2)</f>
        <v>Espuma Expansiva à base de poliuretano</v>
      </c>
      <c r="C2456" s="41"/>
      <c r="D2456" s="26" t="str">
        <f>TRIM(INDEX(Orçamentária!C:C,MATCH(Composições!A2456,Orçamentária!A:A,0),1))</f>
        <v>500 ml</v>
      </c>
      <c r="E2456" s="27"/>
      <c r="F2456" s="42" t="s">
        <v>572</v>
      </c>
      <c r="G2456" s="28" t="str">
        <f t="shared" si="44"/>
        <v/>
      </c>
      <c r="H2456" s="29"/>
      <c r="I2456" s="30"/>
      <c r="J2456" s="156">
        <v>2</v>
      </c>
    </row>
    <row r="2457" spans="1:10" x14ac:dyDescent="0.25">
      <c r="A2457" s="222"/>
      <c r="B2457" s="225"/>
      <c r="C2457" s="32"/>
      <c r="D2457" s="32"/>
      <c r="E2457" s="33"/>
      <c r="F2457" s="43" t="s">
        <v>572</v>
      </c>
      <c r="G2457" s="34" t="str">
        <f t="shared" si="44"/>
        <v/>
      </c>
      <c r="H2457" s="35"/>
      <c r="I2457" s="31"/>
      <c r="J2457" s="156">
        <v>2</v>
      </c>
    </row>
    <row r="2458" spans="1:10" ht="25.5" x14ac:dyDescent="0.25">
      <c r="A2458" s="222"/>
      <c r="B2458" s="225"/>
      <c r="C2458" s="36" t="s">
        <v>799</v>
      </c>
      <c r="D2458" s="47" t="s">
        <v>299</v>
      </c>
      <c r="E2458" s="37">
        <v>1</v>
      </c>
      <c r="F2458" s="31">
        <v>20.9</v>
      </c>
      <c r="G2458" s="34">
        <f t="shared" si="44"/>
        <v>20.9</v>
      </c>
      <c r="H2458" s="39">
        <f>SUM(G2458:G2458)</f>
        <v>20.9</v>
      </c>
      <c r="I2458" s="40"/>
      <c r="J2458" s="156">
        <v>2</v>
      </c>
    </row>
    <row r="2459" spans="1:10" ht="15.75" thickBot="1" x14ac:dyDescent="0.3">
      <c r="A2459" s="223"/>
      <c r="B2459" s="226"/>
      <c r="C2459" s="36"/>
      <c r="D2459" s="36"/>
      <c r="E2459" s="37"/>
      <c r="F2459" s="31" t="s">
        <v>572</v>
      </c>
      <c r="G2459" s="34" t="str">
        <f t="shared" si="44"/>
        <v/>
      </c>
      <c r="H2459" s="35"/>
      <c r="I2459" s="31"/>
      <c r="J2459" s="156">
        <v>2</v>
      </c>
    </row>
    <row r="2460" spans="1:10" ht="15.75" hidden="1" thickBot="1" x14ac:dyDescent="0.3">
      <c r="A2460" s="221" t="s">
        <v>2143</v>
      </c>
      <c r="B2460" s="224" t="str">
        <f>INDEX(Orçamentária!A:B,MATCH(Composições!A2460,Orçamentária!A:A,0),2)</f>
        <v>Adesivo de Contato à Base d’água</v>
      </c>
      <c r="C2460" s="41"/>
      <c r="D2460" s="26" t="str">
        <f>TRIM(INDEX(Orçamentária!C:C,MATCH(Composições!A2460,Orçamentária!A:A,0),1))</f>
        <v>kg</v>
      </c>
      <c r="E2460" s="27"/>
      <c r="F2460" s="42" t="s">
        <v>572</v>
      </c>
      <c r="G2460" s="28" t="str">
        <f t="shared" si="44"/>
        <v/>
      </c>
      <c r="H2460" s="29"/>
      <c r="I2460" s="30"/>
      <c r="J2460" s="156">
        <v>0</v>
      </c>
    </row>
    <row r="2461" spans="1:10" ht="15.75" hidden="1" thickBot="1" x14ac:dyDescent="0.3">
      <c r="A2461" s="222"/>
      <c r="B2461" s="225"/>
      <c r="C2461" s="32"/>
      <c r="D2461" s="32"/>
      <c r="E2461" s="33"/>
      <c r="F2461" s="43" t="s">
        <v>572</v>
      </c>
      <c r="G2461" s="34" t="str">
        <f t="shared" si="44"/>
        <v/>
      </c>
      <c r="H2461" s="35"/>
      <c r="I2461" s="31"/>
      <c r="J2461" s="156">
        <v>0</v>
      </c>
    </row>
    <row r="2462" spans="1:10" ht="15.75" hidden="1" thickBot="1" x14ac:dyDescent="0.3">
      <c r="A2462" s="222"/>
      <c r="B2462" s="225"/>
      <c r="C2462" s="36" t="s">
        <v>305</v>
      </c>
      <c r="D2462" s="47" t="s">
        <v>957</v>
      </c>
      <c r="E2462" s="37">
        <v>1</v>
      </c>
      <c r="F2462" s="31">
        <v>25.478999999999999</v>
      </c>
      <c r="G2462" s="34">
        <f t="shared" si="44"/>
        <v>25.478999999999999</v>
      </c>
      <c r="H2462" s="39">
        <f>SUM(G2462:G2462)</f>
        <v>25.478999999999999</v>
      </c>
      <c r="I2462" s="40"/>
      <c r="J2462" s="156">
        <v>0</v>
      </c>
    </row>
    <row r="2463" spans="1:10" ht="15.75" hidden="1" thickBot="1" x14ac:dyDescent="0.3">
      <c r="A2463" s="223"/>
      <c r="B2463" s="226"/>
      <c r="C2463" s="36"/>
      <c r="D2463" s="36"/>
      <c r="E2463" s="37"/>
      <c r="F2463" s="31" t="s">
        <v>572</v>
      </c>
      <c r="G2463" s="34" t="str">
        <f t="shared" si="44"/>
        <v/>
      </c>
      <c r="H2463" s="35"/>
      <c r="I2463" s="31"/>
      <c r="J2463" s="156">
        <v>0</v>
      </c>
    </row>
    <row r="2464" spans="1:10" ht="15.75" hidden="1" thickBot="1" x14ac:dyDescent="0.3">
      <c r="A2464" s="221" t="s">
        <v>2147</v>
      </c>
      <c r="B2464" s="224" t="str">
        <f>INDEX(Orçamentária!A:B,MATCH(Composições!A2464,Orçamentária!A:A,0),2)</f>
        <v>Laminado fenólico melamínico texturizado - Azul Noturno</v>
      </c>
      <c r="C2464" s="41"/>
      <c r="D2464" s="26" t="str">
        <f>TRIM(INDEX(Orçamentária!C:C,MATCH(Composições!A2464,Orçamentária!A:A,0),1))</f>
        <v>m2</v>
      </c>
      <c r="E2464" s="27"/>
      <c r="F2464" s="42" t="s">
        <v>572</v>
      </c>
      <c r="G2464" s="28" t="str">
        <f t="shared" si="44"/>
        <v/>
      </c>
      <c r="H2464" s="29"/>
      <c r="I2464" s="30"/>
      <c r="J2464" s="156">
        <v>0</v>
      </c>
    </row>
    <row r="2465" spans="1:10" ht="15.75" hidden="1" thickBot="1" x14ac:dyDescent="0.3">
      <c r="A2465" s="222"/>
      <c r="B2465" s="225"/>
      <c r="C2465" s="32"/>
      <c r="D2465" s="32"/>
      <c r="E2465" s="33"/>
      <c r="F2465" s="43" t="s">
        <v>572</v>
      </c>
      <c r="G2465" s="34" t="str">
        <f t="shared" si="44"/>
        <v/>
      </c>
      <c r="H2465" s="35"/>
      <c r="I2465" s="31"/>
      <c r="J2465" s="156">
        <v>0</v>
      </c>
    </row>
    <row r="2466" spans="1:10" ht="26.25" hidden="1" thickBot="1" x14ac:dyDescent="0.3">
      <c r="A2466" s="222"/>
      <c r="B2466" s="225"/>
      <c r="C2466" s="36" t="s">
        <v>3448</v>
      </c>
      <c r="D2466" s="47" t="s">
        <v>96</v>
      </c>
      <c r="E2466" s="37">
        <v>1</v>
      </c>
      <c r="F2466" s="31">
        <v>37.610500000000002</v>
      </c>
      <c r="G2466" s="34">
        <f t="shared" si="44"/>
        <v>37.610500000000002</v>
      </c>
      <c r="H2466" s="39">
        <f>SUM(G2466:G2466)</f>
        <v>37.610500000000002</v>
      </c>
      <c r="I2466" s="40"/>
      <c r="J2466" s="156">
        <v>0</v>
      </c>
    </row>
    <row r="2467" spans="1:10" ht="15.75" hidden="1" thickBot="1" x14ac:dyDescent="0.3">
      <c r="A2467" s="223"/>
      <c r="B2467" s="226"/>
      <c r="C2467" s="36"/>
      <c r="D2467" s="36"/>
      <c r="E2467" s="37"/>
      <c r="F2467" s="31" t="s">
        <v>572</v>
      </c>
      <c r="G2467" s="34" t="str">
        <f t="shared" si="44"/>
        <v/>
      </c>
      <c r="H2467" s="35"/>
      <c r="I2467" s="31"/>
      <c r="J2467" s="156">
        <v>0</v>
      </c>
    </row>
    <row r="2468" spans="1:10" ht="15.75" hidden="1" thickBot="1" x14ac:dyDescent="0.3">
      <c r="A2468" s="221" t="s">
        <v>2149</v>
      </c>
      <c r="B2468" s="224" t="str">
        <f>INDEX(Orçamentária!A:B,MATCH(Composições!A2468,Orçamentária!A:A,0),2)</f>
        <v>Laminado fenólico melamínico texturizado - Branco</v>
      </c>
      <c r="C2468" s="41"/>
      <c r="D2468" s="26" t="str">
        <f>TRIM(INDEX(Orçamentária!C:C,MATCH(Composições!A2468,Orçamentária!A:A,0),1))</f>
        <v>m2</v>
      </c>
      <c r="E2468" s="27"/>
      <c r="F2468" s="42" t="s">
        <v>572</v>
      </c>
      <c r="G2468" s="28" t="str">
        <f t="shared" si="44"/>
        <v/>
      </c>
      <c r="H2468" s="29"/>
      <c r="I2468" s="30"/>
      <c r="J2468" s="156">
        <v>0</v>
      </c>
    </row>
    <row r="2469" spans="1:10" ht="15.75" hidden="1" thickBot="1" x14ac:dyDescent="0.3">
      <c r="A2469" s="222"/>
      <c r="B2469" s="225"/>
      <c r="C2469" s="32"/>
      <c r="D2469" s="32"/>
      <c r="E2469" s="33"/>
      <c r="F2469" s="43" t="s">
        <v>572</v>
      </c>
      <c r="G2469" s="34" t="str">
        <f t="shared" si="44"/>
        <v/>
      </c>
      <c r="H2469" s="35"/>
      <c r="I2469" s="31"/>
      <c r="J2469" s="156">
        <v>0</v>
      </c>
    </row>
    <row r="2470" spans="1:10" ht="26.25" hidden="1" thickBot="1" x14ac:dyDescent="0.3">
      <c r="A2470" s="222"/>
      <c r="B2470" s="225"/>
      <c r="C2470" s="36" t="s">
        <v>3448</v>
      </c>
      <c r="D2470" s="47" t="s">
        <v>96</v>
      </c>
      <c r="E2470" s="37">
        <v>1</v>
      </c>
      <c r="F2470" s="31">
        <v>37.610500000000002</v>
      </c>
      <c r="G2470" s="34">
        <f t="shared" si="44"/>
        <v>37.610500000000002</v>
      </c>
      <c r="H2470" s="39">
        <f>SUM(G2470:G2470)</f>
        <v>37.610500000000002</v>
      </c>
      <c r="I2470" s="40"/>
      <c r="J2470" s="156">
        <v>0</v>
      </c>
    </row>
    <row r="2471" spans="1:10" ht="15.75" hidden="1" thickBot="1" x14ac:dyDescent="0.3">
      <c r="A2471" s="223"/>
      <c r="B2471" s="226"/>
      <c r="C2471" s="36"/>
      <c r="D2471" s="36"/>
      <c r="E2471" s="37"/>
      <c r="F2471" s="31" t="s">
        <v>572</v>
      </c>
      <c r="G2471" s="34" t="str">
        <f t="shared" si="44"/>
        <v/>
      </c>
      <c r="H2471" s="35"/>
      <c r="I2471" s="31"/>
      <c r="J2471" s="156">
        <v>0</v>
      </c>
    </row>
    <row r="2472" spans="1:10" ht="15.75" hidden="1" thickBot="1" x14ac:dyDescent="0.3">
      <c r="A2472" s="221" t="s">
        <v>2151</v>
      </c>
      <c r="B2472" s="224" t="str">
        <f>INDEX(Orçamentária!A:B,MATCH(Composições!A2472,Orçamentária!A:A,0),2)</f>
        <v>Laminado fenólico melamínico texturizado - Ovo</v>
      </c>
      <c r="C2472" s="41"/>
      <c r="D2472" s="26" t="str">
        <f>TRIM(INDEX(Orçamentária!C:C,MATCH(Composições!A2472,Orçamentária!A:A,0),1))</f>
        <v>m2</v>
      </c>
      <c r="E2472" s="27"/>
      <c r="F2472" s="42" t="s">
        <v>572</v>
      </c>
      <c r="G2472" s="28" t="str">
        <f t="shared" si="44"/>
        <v/>
      </c>
      <c r="H2472" s="29"/>
      <c r="I2472" s="30"/>
      <c r="J2472" s="156">
        <v>0</v>
      </c>
    </row>
    <row r="2473" spans="1:10" ht="15.75" hidden="1" thickBot="1" x14ac:dyDescent="0.3">
      <c r="A2473" s="222"/>
      <c r="B2473" s="225"/>
      <c r="C2473" s="32"/>
      <c r="D2473" s="32"/>
      <c r="E2473" s="33"/>
      <c r="F2473" s="43" t="s">
        <v>572</v>
      </c>
      <c r="G2473" s="34" t="str">
        <f t="shared" si="44"/>
        <v/>
      </c>
      <c r="H2473" s="35"/>
      <c r="I2473" s="31"/>
      <c r="J2473" s="156">
        <v>0</v>
      </c>
    </row>
    <row r="2474" spans="1:10" ht="26.25" hidden="1" thickBot="1" x14ac:dyDescent="0.3">
      <c r="A2474" s="222"/>
      <c r="B2474" s="225"/>
      <c r="C2474" s="36" t="s">
        <v>3448</v>
      </c>
      <c r="D2474" s="47" t="s">
        <v>96</v>
      </c>
      <c r="E2474" s="37">
        <v>1</v>
      </c>
      <c r="F2474" s="31">
        <v>37.610500000000002</v>
      </c>
      <c r="G2474" s="34">
        <f t="shared" si="44"/>
        <v>37.610500000000002</v>
      </c>
      <c r="H2474" s="39">
        <f>SUM(G2474:G2474)</f>
        <v>37.610500000000002</v>
      </c>
      <c r="I2474" s="40"/>
      <c r="J2474" s="156">
        <v>0</v>
      </c>
    </row>
    <row r="2475" spans="1:10" ht="15.75" hidden="1" thickBot="1" x14ac:dyDescent="0.3">
      <c r="A2475" s="223"/>
      <c r="B2475" s="226"/>
      <c r="C2475" s="36"/>
      <c r="D2475" s="36"/>
      <c r="E2475" s="37"/>
      <c r="F2475" s="31" t="s">
        <v>572</v>
      </c>
      <c r="G2475" s="34" t="str">
        <f t="shared" si="44"/>
        <v/>
      </c>
      <c r="H2475" s="35"/>
      <c r="I2475" s="31"/>
      <c r="J2475" s="156">
        <v>0</v>
      </c>
    </row>
    <row r="2476" spans="1:10" ht="15.75" hidden="1" thickBot="1" x14ac:dyDescent="0.3">
      <c r="A2476" s="221" t="s">
        <v>2183</v>
      </c>
      <c r="B2476" s="224" t="str">
        <f>INDEX(Orçamentária!A:B,MATCH(Composições!A2476,Orçamentária!A:A,0),2)</f>
        <v>Tábua de Madeira bruta aparelhada - Pinus</v>
      </c>
      <c r="C2476" s="41"/>
      <c r="D2476" s="26" t="str">
        <f>TRIM(INDEX(Orçamentária!C:C,MATCH(Composições!A2476,Orçamentária!A:A,0),1))</f>
        <v>m3</v>
      </c>
      <c r="E2476" s="27"/>
      <c r="F2476" s="42" t="s">
        <v>572</v>
      </c>
      <c r="G2476" s="28" t="str">
        <f t="shared" si="44"/>
        <v/>
      </c>
      <c r="H2476" s="29"/>
      <c r="I2476" s="30"/>
      <c r="J2476" s="156">
        <v>0</v>
      </c>
    </row>
    <row r="2477" spans="1:10" ht="15.75" hidden="1" thickBot="1" x14ac:dyDescent="0.3">
      <c r="A2477" s="222"/>
      <c r="B2477" s="225"/>
      <c r="C2477" s="32"/>
      <c r="D2477" s="32"/>
      <c r="E2477" s="33"/>
      <c r="F2477" s="43" t="s">
        <v>572</v>
      </c>
      <c r="G2477" s="34" t="str">
        <f t="shared" si="44"/>
        <v/>
      </c>
      <c r="H2477" s="35"/>
      <c r="I2477" s="31"/>
      <c r="J2477" s="156">
        <v>0</v>
      </c>
    </row>
    <row r="2478" spans="1:10" ht="26.25" hidden="1" thickBot="1" x14ac:dyDescent="0.3">
      <c r="A2478" s="222"/>
      <c r="B2478" s="225"/>
      <c r="C2478" s="36" t="s">
        <v>3793</v>
      </c>
      <c r="D2478" s="47" t="s">
        <v>94</v>
      </c>
      <c r="E2478" s="37">
        <f>1/(0.025*0.3)</f>
        <v>133.33333333333334</v>
      </c>
      <c r="F2478" s="31">
        <v>9.4429999999999996</v>
      </c>
      <c r="G2478" s="34">
        <f t="shared" si="44"/>
        <v>1259.0666666666666</v>
      </c>
      <c r="H2478" s="39">
        <f>SUM(G2478:G2478)</f>
        <v>1259.0666666666666</v>
      </c>
      <c r="I2478" s="40"/>
      <c r="J2478" s="156">
        <v>0</v>
      </c>
    </row>
    <row r="2479" spans="1:10" ht="15.75" hidden="1" thickBot="1" x14ac:dyDescent="0.3">
      <c r="A2479" s="223"/>
      <c r="B2479" s="226"/>
      <c r="C2479" s="36"/>
      <c r="D2479" s="36"/>
      <c r="E2479" s="37"/>
      <c r="F2479" s="31" t="s">
        <v>572</v>
      </c>
      <c r="G2479" s="34" t="str">
        <f t="shared" si="44"/>
        <v/>
      </c>
      <c r="H2479" s="35"/>
      <c r="I2479" s="31"/>
      <c r="J2479" s="156">
        <v>0</v>
      </c>
    </row>
    <row r="2480" spans="1:10" ht="15.75" hidden="1" thickBot="1" x14ac:dyDescent="0.3">
      <c r="A2480" s="221" t="s">
        <v>2185</v>
      </c>
      <c r="B2480" s="224" t="str">
        <f>INDEX(Orçamentária!A:B,MATCH(Composições!A2480,Orçamentária!A:A,0),2)</f>
        <v>Sarrafo De Madeira</v>
      </c>
      <c r="C2480" s="41"/>
      <c r="D2480" s="26" t="str">
        <f>TRIM(INDEX(Orçamentária!C:C,MATCH(Composições!A2480,Orçamentária!A:A,0),1))</f>
        <v>m</v>
      </c>
      <c r="E2480" s="27"/>
      <c r="F2480" s="42" t="s">
        <v>572</v>
      </c>
      <c r="G2480" s="28" t="str">
        <f t="shared" si="44"/>
        <v/>
      </c>
      <c r="H2480" s="29"/>
      <c r="I2480" s="30"/>
      <c r="J2480" s="156">
        <v>0</v>
      </c>
    </row>
    <row r="2481" spans="1:10" ht="15.75" hidden="1" thickBot="1" x14ac:dyDescent="0.3">
      <c r="A2481" s="222"/>
      <c r="B2481" s="225"/>
      <c r="C2481" s="32"/>
      <c r="D2481" s="32"/>
      <c r="E2481" s="33"/>
      <c r="F2481" s="43" t="s">
        <v>572</v>
      </c>
      <c r="G2481" s="34" t="str">
        <f t="shared" si="44"/>
        <v/>
      </c>
      <c r="H2481" s="35"/>
      <c r="I2481" s="31"/>
      <c r="J2481" s="156">
        <v>0</v>
      </c>
    </row>
    <row r="2482" spans="1:10" ht="26.25" hidden="1" thickBot="1" x14ac:dyDescent="0.3">
      <c r="A2482" s="222"/>
      <c r="B2482" s="225"/>
      <c r="C2482" s="36" t="s">
        <v>3791</v>
      </c>
      <c r="D2482" s="47" t="s">
        <v>94</v>
      </c>
      <c r="E2482" s="37">
        <v>1</v>
      </c>
      <c r="F2482" s="31">
        <v>2.8879999999999999</v>
      </c>
      <c r="G2482" s="34">
        <f t="shared" si="44"/>
        <v>2.8879999999999999</v>
      </c>
      <c r="H2482" s="39">
        <f>SUM(G2482:G2482)</f>
        <v>2.8879999999999999</v>
      </c>
      <c r="I2482" s="40"/>
      <c r="J2482" s="156">
        <v>0</v>
      </c>
    </row>
    <row r="2483" spans="1:10" ht="15.75" hidden="1" thickBot="1" x14ac:dyDescent="0.3">
      <c r="A2483" s="223"/>
      <c r="B2483" s="226"/>
      <c r="C2483" s="36"/>
      <c r="D2483" s="36"/>
      <c r="E2483" s="37"/>
      <c r="F2483" s="31" t="s">
        <v>572</v>
      </c>
      <c r="G2483" s="34" t="str">
        <f t="shared" si="44"/>
        <v/>
      </c>
      <c r="H2483" s="35"/>
      <c r="I2483" s="31"/>
      <c r="J2483" s="156">
        <v>0</v>
      </c>
    </row>
    <row r="2484" spans="1:10" ht="15.75" hidden="1" thickBot="1" x14ac:dyDescent="0.3">
      <c r="A2484" s="221" t="s">
        <v>2187</v>
      </c>
      <c r="B2484" s="224" t="str">
        <f>INDEX(Orçamentária!A:B,MATCH(Composições!A2484,Orçamentária!A:A,0),2)</f>
        <v>Caibro De Madeira</v>
      </c>
      <c r="C2484" s="41"/>
      <c r="D2484" s="26" t="str">
        <f>TRIM(INDEX(Orçamentária!C:C,MATCH(Composições!A2484,Orçamentária!A:A,0),1))</f>
        <v>m</v>
      </c>
      <c r="E2484" s="27"/>
      <c r="F2484" s="42" t="s">
        <v>572</v>
      </c>
      <c r="G2484" s="28" t="str">
        <f t="shared" si="44"/>
        <v/>
      </c>
      <c r="H2484" s="29"/>
      <c r="I2484" s="30"/>
      <c r="J2484" s="156">
        <v>0</v>
      </c>
    </row>
    <row r="2485" spans="1:10" ht="15.75" hidden="1" thickBot="1" x14ac:dyDescent="0.3">
      <c r="A2485" s="222"/>
      <c r="B2485" s="225"/>
      <c r="C2485" s="32"/>
      <c r="D2485" s="32"/>
      <c r="E2485" s="33"/>
      <c r="F2485" s="43" t="s">
        <v>572</v>
      </c>
      <c r="G2485" s="34" t="str">
        <f t="shared" si="44"/>
        <v/>
      </c>
      <c r="H2485" s="35"/>
      <c r="I2485" s="31"/>
      <c r="J2485" s="156">
        <v>0</v>
      </c>
    </row>
    <row r="2486" spans="1:10" ht="26.25" hidden="1" thickBot="1" x14ac:dyDescent="0.3">
      <c r="A2486" s="222"/>
      <c r="B2486" s="225"/>
      <c r="C2486" s="36" t="s">
        <v>3444</v>
      </c>
      <c r="D2486" s="47" t="s">
        <v>94</v>
      </c>
      <c r="E2486" s="37">
        <v>1</v>
      </c>
      <c r="F2486" s="31" t="s">
        <v>572</v>
      </c>
      <c r="G2486" s="34" t="str">
        <f t="shared" si="44"/>
        <v/>
      </c>
      <c r="H2486" s="39">
        <f>SUM(G2486:G2486)</f>
        <v>0</v>
      </c>
      <c r="I2486" s="40"/>
      <c r="J2486" s="156">
        <v>0</v>
      </c>
    </row>
    <row r="2487" spans="1:10" ht="15.75" hidden="1" thickBot="1" x14ac:dyDescent="0.3">
      <c r="A2487" s="223"/>
      <c r="B2487" s="226"/>
      <c r="C2487" s="36"/>
      <c r="D2487" s="36"/>
      <c r="E2487" s="37"/>
      <c r="F2487" s="31" t="s">
        <v>572</v>
      </c>
      <c r="G2487" s="34" t="str">
        <f t="shared" si="44"/>
        <v/>
      </c>
      <c r="H2487" s="35"/>
      <c r="I2487" s="31"/>
      <c r="J2487" s="156">
        <v>0</v>
      </c>
    </row>
    <row r="2488" spans="1:10" ht="15.75" hidden="1" thickBot="1" x14ac:dyDescent="0.3">
      <c r="A2488" s="221" t="s">
        <v>2193</v>
      </c>
      <c r="B2488" s="224" t="str">
        <f>INDEX(Orçamentária!A:B,MATCH(Composições!A2488,Orçamentária!A:A,0),2)</f>
        <v>Painel de MDF Laminado – Branco - 06mm</v>
      </c>
      <c r="C2488" s="41"/>
      <c r="D2488" s="26" t="str">
        <f>TRIM(INDEX(Orçamentária!C:C,MATCH(Composições!A2488,Orçamentária!A:A,0),1))</f>
        <v>m2</v>
      </c>
      <c r="E2488" s="27"/>
      <c r="F2488" s="42" t="s">
        <v>572</v>
      </c>
      <c r="G2488" s="28" t="str">
        <f t="shared" si="44"/>
        <v/>
      </c>
      <c r="H2488" s="29"/>
      <c r="I2488" s="30"/>
      <c r="J2488" s="156">
        <v>0</v>
      </c>
    </row>
    <row r="2489" spans="1:10" ht="15.75" hidden="1" thickBot="1" x14ac:dyDescent="0.3">
      <c r="A2489" s="222"/>
      <c r="B2489" s="225"/>
      <c r="C2489" s="32"/>
      <c r="D2489" s="32"/>
      <c r="E2489" s="33"/>
      <c r="F2489" s="43" t="s">
        <v>572</v>
      </c>
      <c r="G2489" s="34" t="str">
        <f t="shared" si="44"/>
        <v/>
      </c>
      <c r="H2489" s="35"/>
      <c r="I2489" s="31"/>
      <c r="J2489" s="156">
        <v>0</v>
      </c>
    </row>
    <row r="2490" spans="1:10" ht="15.75" hidden="1" thickBot="1" x14ac:dyDescent="0.3">
      <c r="A2490" s="222"/>
      <c r="B2490" s="225"/>
      <c r="C2490" s="36" t="s">
        <v>3450</v>
      </c>
      <c r="D2490" s="47" t="s">
        <v>96</v>
      </c>
      <c r="E2490" s="37">
        <v>1</v>
      </c>
      <c r="F2490" s="31">
        <v>25.5075</v>
      </c>
      <c r="G2490" s="34">
        <f t="shared" si="44"/>
        <v>25.5075</v>
      </c>
      <c r="H2490" s="39">
        <f>SUM(G2490:G2490)</f>
        <v>25.5075</v>
      </c>
      <c r="I2490" s="40"/>
      <c r="J2490" s="156">
        <v>0</v>
      </c>
    </row>
    <row r="2491" spans="1:10" ht="15.75" hidden="1" thickBot="1" x14ac:dyDescent="0.3">
      <c r="A2491" s="223"/>
      <c r="B2491" s="226"/>
      <c r="C2491" s="36"/>
      <c r="D2491" s="36"/>
      <c r="E2491" s="37"/>
      <c r="F2491" s="31" t="s">
        <v>572</v>
      </c>
      <c r="G2491" s="34" t="str">
        <f t="shared" si="44"/>
        <v/>
      </c>
      <c r="H2491" s="35"/>
      <c r="I2491" s="31"/>
      <c r="J2491" s="156">
        <v>0</v>
      </c>
    </row>
    <row r="2492" spans="1:10" ht="15.75" hidden="1" thickBot="1" x14ac:dyDescent="0.3">
      <c r="A2492" s="221" t="s">
        <v>2197</v>
      </c>
      <c r="B2492" s="224" t="str">
        <f>INDEX(Orçamentária!A:B,MATCH(Composições!A2492,Orçamentária!A:A,0),2)</f>
        <v>Painel de MDF Laminado - Branco - 15mm</v>
      </c>
      <c r="C2492" s="41"/>
      <c r="D2492" s="26" t="str">
        <f>TRIM(INDEX(Orçamentária!C:C,MATCH(Composições!A2492,Orçamentária!A:A,0),1))</f>
        <v>m2</v>
      </c>
      <c r="E2492" s="27"/>
      <c r="F2492" s="42" t="s">
        <v>572</v>
      </c>
      <c r="G2492" s="28" t="str">
        <f t="shared" si="44"/>
        <v/>
      </c>
      <c r="H2492" s="29"/>
      <c r="I2492" s="30"/>
      <c r="J2492" s="156">
        <v>0</v>
      </c>
    </row>
    <row r="2493" spans="1:10" ht="15.75" hidden="1" thickBot="1" x14ac:dyDescent="0.3">
      <c r="A2493" s="222"/>
      <c r="B2493" s="225"/>
      <c r="C2493" s="32"/>
      <c r="D2493" s="32"/>
      <c r="E2493" s="33"/>
      <c r="F2493" s="43" t="s">
        <v>572</v>
      </c>
      <c r="G2493" s="34" t="str">
        <f t="shared" si="44"/>
        <v/>
      </c>
      <c r="H2493" s="35"/>
      <c r="I2493" s="31"/>
      <c r="J2493" s="156">
        <v>0</v>
      </c>
    </row>
    <row r="2494" spans="1:10" ht="26.25" hidden="1" thickBot="1" x14ac:dyDescent="0.3">
      <c r="A2494" s="222"/>
      <c r="B2494" s="225"/>
      <c r="C2494" s="36" t="s">
        <v>3451</v>
      </c>
      <c r="D2494" s="47" t="s">
        <v>96</v>
      </c>
      <c r="E2494" s="37">
        <v>1</v>
      </c>
      <c r="F2494" s="31">
        <v>40.023499999999999</v>
      </c>
      <c r="G2494" s="34">
        <f t="shared" si="44"/>
        <v>40.023499999999999</v>
      </c>
      <c r="H2494" s="39">
        <f>SUM(G2494:G2494)</f>
        <v>40.023499999999999</v>
      </c>
      <c r="I2494" s="40"/>
      <c r="J2494" s="156">
        <v>0</v>
      </c>
    </row>
    <row r="2495" spans="1:10" ht="15.75" hidden="1" thickBot="1" x14ac:dyDescent="0.3">
      <c r="A2495" s="223"/>
      <c r="B2495" s="226"/>
      <c r="C2495" s="36"/>
      <c r="D2495" s="36"/>
      <c r="E2495" s="37"/>
      <c r="F2495" s="31" t="s">
        <v>572</v>
      </c>
      <c r="G2495" s="34" t="str">
        <f t="shared" si="44"/>
        <v/>
      </c>
      <c r="H2495" s="35"/>
      <c r="I2495" s="31"/>
      <c r="J2495" s="156">
        <v>0</v>
      </c>
    </row>
    <row r="2496" spans="1:10" ht="15.75" hidden="1" thickBot="1" x14ac:dyDescent="0.3">
      <c r="A2496" s="221" t="s">
        <v>2201</v>
      </c>
      <c r="B2496" s="224" t="str">
        <f>INDEX(Orçamentária!A:B,MATCH(Composições!A2496,Orçamentária!A:A,0),2)</f>
        <v>Painel de MDF Laminado – Branco - 18mm</v>
      </c>
      <c r="C2496" s="41"/>
      <c r="D2496" s="26" t="str">
        <f>TRIM(INDEX(Orçamentária!C:C,MATCH(Composições!A2496,Orçamentária!A:A,0),1))</f>
        <v>m2</v>
      </c>
      <c r="E2496" s="27"/>
      <c r="F2496" s="42" t="s">
        <v>572</v>
      </c>
      <c r="G2496" s="28" t="str">
        <f t="shared" si="44"/>
        <v/>
      </c>
      <c r="H2496" s="29"/>
      <c r="I2496" s="30"/>
      <c r="J2496" s="156">
        <v>0</v>
      </c>
    </row>
    <row r="2497" spans="1:10" ht="15.75" hidden="1" thickBot="1" x14ac:dyDescent="0.3">
      <c r="A2497" s="222"/>
      <c r="B2497" s="225"/>
      <c r="C2497" s="32"/>
      <c r="D2497" s="32"/>
      <c r="E2497" s="33"/>
      <c r="F2497" s="43" t="s">
        <v>572</v>
      </c>
      <c r="G2497" s="34" t="str">
        <f t="shared" si="44"/>
        <v/>
      </c>
      <c r="H2497" s="35"/>
      <c r="I2497" s="31"/>
      <c r="J2497" s="156">
        <v>0</v>
      </c>
    </row>
    <row r="2498" spans="1:10" ht="26.25" hidden="1" thickBot="1" x14ac:dyDescent="0.3">
      <c r="A2498" s="222"/>
      <c r="B2498" s="225"/>
      <c r="C2498" s="36" t="s">
        <v>3452</v>
      </c>
      <c r="D2498" s="47" t="s">
        <v>96</v>
      </c>
      <c r="E2498" s="37">
        <v>1</v>
      </c>
      <c r="F2498" s="31">
        <v>49.684999999999995</v>
      </c>
      <c r="G2498" s="34">
        <f t="shared" si="44"/>
        <v>49.684999999999995</v>
      </c>
      <c r="H2498" s="39">
        <f>SUM(G2498:G2498)</f>
        <v>49.684999999999995</v>
      </c>
      <c r="I2498" s="40"/>
      <c r="J2498" s="156">
        <v>0</v>
      </c>
    </row>
    <row r="2499" spans="1:10" ht="15.75" hidden="1" thickBot="1" x14ac:dyDescent="0.3">
      <c r="A2499" s="223"/>
      <c r="B2499" s="226"/>
      <c r="C2499" s="36"/>
      <c r="D2499" s="36"/>
      <c r="E2499" s="37"/>
      <c r="F2499" s="31" t="s">
        <v>572</v>
      </c>
      <c r="G2499" s="34" t="str">
        <f t="shared" si="44"/>
        <v/>
      </c>
      <c r="H2499" s="35"/>
      <c r="I2499" s="31"/>
      <c r="J2499" s="156">
        <v>0</v>
      </c>
    </row>
    <row r="2500" spans="1:10" ht="15.75" hidden="1" thickBot="1" x14ac:dyDescent="0.3">
      <c r="A2500" s="221" t="s">
        <v>2205</v>
      </c>
      <c r="B2500" s="224" t="str">
        <f>INDEX(Orçamentária!A:B,MATCH(Composições!A2500,Orçamentária!A:A,0),2)</f>
        <v>Cantoneira laminada em aço abas iguais 1" x 3/16"</v>
      </c>
      <c r="C2500" s="41"/>
      <c r="D2500" s="26" t="str">
        <f>TRIM(INDEX(Orçamentária!C:C,MATCH(Composições!A2500,Orçamentária!A:A,0),1))</f>
        <v>m</v>
      </c>
      <c r="E2500" s="27"/>
      <c r="F2500" s="42" t="s">
        <v>572</v>
      </c>
      <c r="G2500" s="28" t="str">
        <f t="shared" si="44"/>
        <v/>
      </c>
      <c r="H2500" s="29"/>
      <c r="I2500" s="30"/>
      <c r="J2500" s="156">
        <v>0</v>
      </c>
    </row>
    <row r="2501" spans="1:10" ht="15.75" hidden="1" thickBot="1" x14ac:dyDescent="0.3">
      <c r="A2501" s="222"/>
      <c r="B2501" s="225"/>
      <c r="C2501" s="32"/>
      <c r="D2501" s="32"/>
      <c r="E2501" s="33"/>
      <c r="F2501" s="43" t="s">
        <v>572</v>
      </c>
      <c r="G2501" s="34" t="str">
        <f t="shared" si="44"/>
        <v/>
      </c>
      <c r="H2501" s="35"/>
      <c r="I2501" s="31"/>
      <c r="J2501" s="156">
        <v>0</v>
      </c>
    </row>
    <row r="2502" spans="1:10" ht="26.25" hidden="1" thickBot="1" x14ac:dyDescent="0.3">
      <c r="A2502" s="222"/>
      <c r="B2502" s="225"/>
      <c r="C2502" s="36" t="s">
        <v>135</v>
      </c>
      <c r="D2502" s="47" t="s">
        <v>42</v>
      </c>
      <c r="E2502" s="37">
        <v>1.73</v>
      </c>
      <c r="F2502" s="31">
        <v>8.2174999999999994</v>
      </c>
      <c r="G2502" s="34">
        <f t="shared" si="44"/>
        <v>14.216275</v>
      </c>
      <c r="H2502" s="39">
        <f>SUM(G2502:G2502)</f>
        <v>14.216275</v>
      </c>
      <c r="I2502" s="40"/>
      <c r="J2502" s="156">
        <v>0</v>
      </c>
    </row>
    <row r="2503" spans="1:10" ht="15.75" hidden="1" thickBot="1" x14ac:dyDescent="0.3">
      <c r="A2503" s="223"/>
      <c r="B2503" s="226"/>
      <c r="C2503" s="36"/>
      <c r="D2503" s="36"/>
      <c r="E2503" s="37"/>
      <c r="F2503" s="31" t="s">
        <v>572</v>
      </c>
      <c r="G2503" s="34" t="str">
        <f t="shared" si="44"/>
        <v/>
      </c>
      <c r="H2503" s="35"/>
      <c r="I2503" s="31"/>
      <c r="J2503" s="156">
        <v>0</v>
      </c>
    </row>
    <row r="2504" spans="1:10" ht="15.75" hidden="1" thickBot="1" x14ac:dyDescent="0.3">
      <c r="A2504" s="221" t="s">
        <v>2207</v>
      </c>
      <c r="B2504" s="224" t="str">
        <f>INDEX(Orçamentária!A:B,MATCH(Composições!A2504,Orçamentária!A:A,0),2)</f>
        <v>Cantoneira laminada em aço abas iguais 1"1/4 x 3/16"</v>
      </c>
      <c r="C2504" s="41"/>
      <c r="D2504" s="26" t="str">
        <f>TRIM(INDEX(Orçamentária!C:C,MATCH(Composições!A2504,Orçamentária!A:A,0),1))</f>
        <v>m</v>
      </c>
      <c r="E2504" s="27"/>
      <c r="F2504" s="42" t="s">
        <v>572</v>
      </c>
      <c r="G2504" s="28" t="str">
        <f t="shared" si="44"/>
        <v/>
      </c>
      <c r="H2504" s="29"/>
      <c r="I2504" s="30"/>
      <c r="J2504" s="156">
        <v>0</v>
      </c>
    </row>
    <row r="2505" spans="1:10" ht="15.75" hidden="1" thickBot="1" x14ac:dyDescent="0.3">
      <c r="A2505" s="222"/>
      <c r="B2505" s="225"/>
      <c r="C2505" s="32"/>
      <c r="D2505" s="32"/>
      <c r="E2505" s="33"/>
      <c r="F2505" s="43" t="s">
        <v>572</v>
      </c>
      <c r="G2505" s="34" t="str">
        <f t="shared" si="44"/>
        <v/>
      </c>
      <c r="H2505" s="35"/>
      <c r="I2505" s="31"/>
      <c r="J2505" s="156">
        <v>0</v>
      </c>
    </row>
    <row r="2506" spans="1:10" ht="26.25" hidden="1" thickBot="1" x14ac:dyDescent="0.3">
      <c r="A2506" s="222"/>
      <c r="B2506" s="225"/>
      <c r="C2506" s="36" t="s">
        <v>135</v>
      </c>
      <c r="D2506" s="47" t="s">
        <v>42</v>
      </c>
      <c r="E2506" s="37">
        <v>2.2000000000000002</v>
      </c>
      <c r="F2506" s="31">
        <v>8.2174999999999994</v>
      </c>
      <c r="G2506" s="34">
        <f t="shared" si="44"/>
        <v>18.078500000000002</v>
      </c>
      <c r="H2506" s="39">
        <f>SUM(G2506:G2506)</f>
        <v>18.078500000000002</v>
      </c>
      <c r="I2506" s="40"/>
      <c r="J2506" s="156">
        <v>0</v>
      </c>
    </row>
    <row r="2507" spans="1:10" ht="15.75" hidden="1" thickBot="1" x14ac:dyDescent="0.3">
      <c r="A2507" s="223"/>
      <c r="B2507" s="226"/>
      <c r="C2507" s="36"/>
      <c r="D2507" s="36"/>
      <c r="E2507" s="37"/>
      <c r="F2507" s="31" t="s">
        <v>572</v>
      </c>
      <c r="G2507" s="34" t="str">
        <f t="shared" si="44"/>
        <v/>
      </c>
      <c r="H2507" s="35"/>
      <c r="I2507" s="31"/>
      <c r="J2507" s="156">
        <v>0</v>
      </c>
    </row>
    <row r="2508" spans="1:10" ht="15.75" hidden="1" thickBot="1" x14ac:dyDescent="0.3">
      <c r="A2508" s="221" t="s">
        <v>2209</v>
      </c>
      <c r="B2508" s="224" t="str">
        <f>INDEX(Orçamentária!A:B,MATCH(Composições!A2508,Orçamentária!A:A,0),2)</f>
        <v>Cantoneira laminada em aço abas iguais 2” x 1/8”</v>
      </c>
      <c r="C2508" s="41"/>
      <c r="D2508" s="26" t="str">
        <f>TRIM(INDEX(Orçamentária!C:C,MATCH(Composições!A2508,Orçamentária!A:A,0),1))</f>
        <v>m</v>
      </c>
      <c r="E2508" s="27"/>
      <c r="F2508" s="42" t="s">
        <v>572</v>
      </c>
      <c r="G2508" s="28" t="str">
        <f t="shared" si="44"/>
        <v/>
      </c>
      <c r="H2508" s="29"/>
      <c r="I2508" s="30"/>
      <c r="J2508" s="156">
        <v>0</v>
      </c>
    </row>
    <row r="2509" spans="1:10" ht="15.75" hidden="1" thickBot="1" x14ac:dyDescent="0.3">
      <c r="A2509" s="222"/>
      <c r="B2509" s="225"/>
      <c r="C2509" s="32"/>
      <c r="D2509" s="32"/>
      <c r="E2509" s="33"/>
      <c r="F2509" s="43" t="s">
        <v>572</v>
      </c>
      <c r="G2509" s="34" t="str">
        <f t="shared" si="44"/>
        <v/>
      </c>
      <c r="H2509" s="35"/>
      <c r="I2509" s="31"/>
      <c r="J2509" s="156">
        <v>0</v>
      </c>
    </row>
    <row r="2510" spans="1:10" ht="26.25" hidden="1" thickBot="1" x14ac:dyDescent="0.3">
      <c r="A2510" s="222"/>
      <c r="B2510" s="225"/>
      <c r="C2510" s="36" t="s">
        <v>135</v>
      </c>
      <c r="D2510" s="47" t="s">
        <v>42</v>
      </c>
      <c r="E2510" s="37">
        <v>2.46</v>
      </c>
      <c r="F2510" s="31">
        <v>8.2174999999999994</v>
      </c>
      <c r="G2510" s="34">
        <f t="shared" si="44"/>
        <v>20.215049999999998</v>
      </c>
      <c r="H2510" s="39">
        <f>SUM(G2510:G2510)</f>
        <v>20.215049999999998</v>
      </c>
      <c r="I2510" s="40"/>
      <c r="J2510" s="156">
        <v>0</v>
      </c>
    </row>
    <row r="2511" spans="1:10" ht="15.75" hidden="1" thickBot="1" x14ac:dyDescent="0.3">
      <c r="A2511" s="223"/>
      <c r="B2511" s="226"/>
      <c r="C2511" s="36"/>
      <c r="D2511" s="36"/>
      <c r="E2511" s="37"/>
      <c r="F2511" s="31" t="s">
        <v>572</v>
      </c>
      <c r="G2511" s="34" t="str">
        <f t="shared" si="44"/>
        <v/>
      </c>
      <c r="H2511" s="35"/>
      <c r="I2511" s="31"/>
      <c r="J2511" s="156">
        <v>0</v>
      </c>
    </row>
    <row r="2512" spans="1:10" ht="15.75" hidden="1" thickBot="1" x14ac:dyDescent="0.3">
      <c r="A2512" s="221" t="s">
        <v>2211</v>
      </c>
      <c r="B2512" s="224" t="str">
        <f>INDEX(Orçamentária!A:B,MATCH(Composições!A2512,Orçamentária!A:A,0),2)</f>
        <v>Cantoneira laminada em aço abas Iguais 2” x 3/16”</v>
      </c>
      <c r="C2512" s="41"/>
      <c r="D2512" s="26" t="str">
        <f>TRIM(INDEX(Orçamentária!C:C,MATCH(Composições!A2512,Orçamentária!A:A,0),1))</f>
        <v>m</v>
      </c>
      <c r="E2512" s="27"/>
      <c r="F2512" s="42" t="s">
        <v>572</v>
      </c>
      <c r="G2512" s="28" t="str">
        <f t="shared" si="44"/>
        <v/>
      </c>
      <c r="H2512" s="29"/>
      <c r="I2512" s="30"/>
      <c r="J2512" s="156">
        <v>0</v>
      </c>
    </row>
    <row r="2513" spans="1:10" ht="15.75" hidden="1" thickBot="1" x14ac:dyDescent="0.3">
      <c r="A2513" s="222"/>
      <c r="B2513" s="225"/>
      <c r="C2513" s="32"/>
      <c r="D2513" s="32"/>
      <c r="E2513" s="33"/>
      <c r="F2513" s="43" t="s">
        <v>572</v>
      </c>
      <c r="G2513" s="34" t="str">
        <f t="shared" si="44"/>
        <v/>
      </c>
      <c r="H2513" s="35"/>
      <c r="I2513" s="31"/>
      <c r="J2513" s="156">
        <v>0</v>
      </c>
    </row>
    <row r="2514" spans="1:10" ht="26.25" hidden="1" thickBot="1" x14ac:dyDescent="0.3">
      <c r="A2514" s="222"/>
      <c r="B2514" s="225"/>
      <c r="C2514" s="36" t="s">
        <v>135</v>
      </c>
      <c r="D2514" s="47" t="s">
        <v>42</v>
      </c>
      <c r="E2514" s="37">
        <v>3.63</v>
      </c>
      <c r="F2514" s="31">
        <v>8.2174999999999994</v>
      </c>
      <c r="G2514" s="34">
        <f t="shared" ref="G2514:G2577" si="45">IF(ISNUMBER(F2514),E2514*F2514,"")</f>
        <v>29.829524999999997</v>
      </c>
      <c r="H2514" s="39">
        <f>SUM(G2514:G2514)</f>
        <v>29.829524999999997</v>
      </c>
      <c r="I2514" s="40"/>
      <c r="J2514" s="156">
        <v>0</v>
      </c>
    </row>
    <row r="2515" spans="1:10" ht="15.75" hidden="1" thickBot="1" x14ac:dyDescent="0.3">
      <c r="A2515" s="223"/>
      <c r="B2515" s="226"/>
      <c r="C2515" s="36"/>
      <c r="D2515" s="36"/>
      <c r="E2515" s="37"/>
      <c r="F2515" s="31" t="s">
        <v>572</v>
      </c>
      <c r="G2515" s="34" t="str">
        <f t="shared" si="45"/>
        <v/>
      </c>
      <c r="H2515" s="35"/>
      <c r="I2515" s="31"/>
      <c r="J2515" s="156">
        <v>0</v>
      </c>
    </row>
    <row r="2516" spans="1:10" ht="15.75" hidden="1" thickBot="1" x14ac:dyDescent="0.3">
      <c r="A2516" s="221" t="s">
        <v>2213</v>
      </c>
      <c r="B2516" s="224" t="str">
        <f>INDEX(Orçamentária!A:B,MATCH(Composições!A2516,Orçamentária!A:A,0),2)</f>
        <v>Cantoneira laminada em aço abas Iguais 5/8” x 1/8”</v>
      </c>
      <c r="C2516" s="41"/>
      <c r="D2516" s="26" t="str">
        <f>TRIM(INDEX(Orçamentária!C:C,MATCH(Composições!A2516,Orçamentária!A:A,0),1))</f>
        <v>m</v>
      </c>
      <c r="E2516" s="27"/>
      <c r="F2516" s="42" t="s">
        <v>572</v>
      </c>
      <c r="G2516" s="28" t="str">
        <f t="shared" si="45"/>
        <v/>
      </c>
      <c r="H2516" s="29"/>
      <c r="I2516" s="30"/>
      <c r="J2516" s="156">
        <v>0</v>
      </c>
    </row>
    <row r="2517" spans="1:10" ht="15.75" hidden="1" thickBot="1" x14ac:dyDescent="0.3">
      <c r="A2517" s="222"/>
      <c r="B2517" s="225"/>
      <c r="C2517" s="32"/>
      <c r="D2517" s="32"/>
      <c r="E2517" s="33"/>
      <c r="F2517" s="43" t="s">
        <v>572</v>
      </c>
      <c r="G2517" s="34" t="str">
        <f t="shared" si="45"/>
        <v/>
      </c>
      <c r="H2517" s="35"/>
      <c r="I2517" s="31"/>
      <c r="J2517" s="156">
        <v>0</v>
      </c>
    </row>
    <row r="2518" spans="1:10" ht="26.25" hidden="1" thickBot="1" x14ac:dyDescent="0.3">
      <c r="A2518" s="222"/>
      <c r="B2518" s="225"/>
      <c r="C2518" s="36" t="s">
        <v>135</v>
      </c>
      <c r="D2518" s="47" t="s">
        <v>42</v>
      </c>
      <c r="E2518" s="37">
        <v>0.71</v>
      </c>
      <c r="F2518" s="31">
        <v>8.2174999999999994</v>
      </c>
      <c r="G2518" s="34">
        <f t="shared" si="45"/>
        <v>5.8344249999999995</v>
      </c>
      <c r="H2518" s="39">
        <f>SUM(G2518:G2518)</f>
        <v>5.8344249999999995</v>
      </c>
      <c r="I2518" s="40"/>
      <c r="J2518" s="156">
        <v>0</v>
      </c>
    </row>
    <row r="2519" spans="1:10" ht="15.75" hidden="1" thickBot="1" x14ac:dyDescent="0.3">
      <c r="A2519" s="223"/>
      <c r="B2519" s="226"/>
      <c r="C2519" s="36"/>
      <c r="D2519" s="36"/>
      <c r="E2519" s="37"/>
      <c r="F2519" s="31" t="s">
        <v>572</v>
      </c>
      <c r="G2519" s="34" t="str">
        <f t="shared" si="45"/>
        <v/>
      </c>
      <c r="H2519" s="35"/>
      <c r="I2519" s="31"/>
      <c r="J2519" s="156">
        <v>0</v>
      </c>
    </row>
    <row r="2520" spans="1:10" ht="15.75" hidden="1" thickBot="1" x14ac:dyDescent="0.3">
      <c r="A2520" s="221" t="s">
        <v>2215</v>
      </c>
      <c r="B2520" s="224" t="str">
        <f>INDEX(Orçamentária!A:B,MATCH(Composições!A2520,Orçamentária!A:A,0),2)</f>
        <v>Chapa aço galvanizado # 16 (kg)</v>
      </c>
      <c r="C2520" s="41"/>
      <c r="D2520" s="26" t="str">
        <f>TRIM(INDEX(Orçamentária!C:C,MATCH(Composições!A2520,Orçamentária!A:A,0),1))</f>
        <v>kg</v>
      </c>
      <c r="E2520" s="27"/>
      <c r="F2520" s="42" t="s">
        <v>572</v>
      </c>
      <c r="G2520" s="28" t="str">
        <f t="shared" si="45"/>
        <v/>
      </c>
      <c r="H2520" s="29"/>
      <c r="I2520" s="30"/>
      <c r="J2520" s="156">
        <v>0</v>
      </c>
    </row>
    <row r="2521" spans="1:10" ht="15.75" hidden="1" thickBot="1" x14ac:dyDescent="0.3">
      <c r="A2521" s="222"/>
      <c r="B2521" s="225"/>
      <c r="C2521" s="32"/>
      <c r="D2521" s="32"/>
      <c r="E2521" s="33"/>
      <c r="F2521" s="43" t="s">
        <v>572</v>
      </c>
      <c r="G2521" s="34" t="str">
        <f t="shared" si="45"/>
        <v/>
      </c>
      <c r="H2521" s="35"/>
      <c r="I2521" s="31"/>
      <c r="J2521" s="156">
        <v>0</v>
      </c>
    </row>
    <row r="2522" spans="1:10" ht="26.25" hidden="1" thickBot="1" x14ac:dyDescent="0.3">
      <c r="A2522" s="222"/>
      <c r="B2522" s="225"/>
      <c r="C2522" s="36" t="s">
        <v>3447</v>
      </c>
      <c r="D2522" s="47" t="s">
        <v>42</v>
      </c>
      <c r="E2522" s="37">
        <v>1</v>
      </c>
      <c r="F2522" s="31">
        <v>12.378499999999999</v>
      </c>
      <c r="G2522" s="34">
        <f t="shared" si="45"/>
        <v>12.378499999999999</v>
      </c>
      <c r="H2522" s="39">
        <f>SUM(G2522:G2522)</f>
        <v>12.378499999999999</v>
      </c>
      <c r="I2522" s="40"/>
      <c r="J2522" s="156">
        <v>0</v>
      </c>
    </row>
    <row r="2523" spans="1:10" ht="15.75" hidden="1" thickBot="1" x14ac:dyDescent="0.3">
      <c r="A2523" s="223"/>
      <c r="B2523" s="226"/>
      <c r="C2523" s="36"/>
      <c r="D2523" s="36"/>
      <c r="E2523" s="37"/>
      <c r="F2523" s="31" t="s">
        <v>572</v>
      </c>
      <c r="G2523" s="34" t="str">
        <f t="shared" si="45"/>
        <v/>
      </c>
      <c r="H2523" s="35"/>
      <c r="I2523" s="31"/>
      <c r="J2523" s="156">
        <v>0</v>
      </c>
    </row>
    <row r="2524" spans="1:10" ht="15.75" hidden="1" thickBot="1" x14ac:dyDescent="0.3">
      <c r="A2524" s="221" t="s">
        <v>2217</v>
      </c>
      <c r="B2524" s="224" t="str">
        <f>INDEX(Orçamentária!A:B,MATCH(Composições!A2524,Orçamentária!A:A,0),2)</f>
        <v>Ferro chato 1"x1/8"</v>
      </c>
      <c r="C2524" s="41"/>
      <c r="D2524" s="26" t="str">
        <f>TRIM(INDEX(Orçamentária!C:C,MATCH(Composições!A2524,Orçamentária!A:A,0),1))</f>
        <v>m</v>
      </c>
      <c r="E2524" s="27"/>
      <c r="F2524" s="42" t="s">
        <v>572</v>
      </c>
      <c r="G2524" s="28" t="str">
        <f t="shared" si="45"/>
        <v/>
      </c>
      <c r="H2524" s="29"/>
      <c r="I2524" s="30"/>
      <c r="J2524" s="156">
        <v>0</v>
      </c>
    </row>
    <row r="2525" spans="1:10" ht="15.75" hidden="1" thickBot="1" x14ac:dyDescent="0.3">
      <c r="A2525" s="222"/>
      <c r="B2525" s="225"/>
      <c r="C2525" s="32"/>
      <c r="D2525" s="32"/>
      <c r="E2525" s="33"/>
      <c r="F2525" s="43" t="s">
        <v>572</v>
      </c>
      <c r="G2525" s="34" t="str">
        <f t="shared" si="45"/>
        <v/>
      </c>
      <c r="H2525" s="35"/>
      <c r="I2525" s="31"/>
      <c r="J2525" s="156">
        <v>0</v>
      </c>
    </row>
    <row r="2526" spans="1:10" ht="15.75" hidden="1" thickBot="1" x14ac:dyDescent="0.3">
      <c r="A2526" s="222"/>
      <c r="B2526" s="225"/>
      <c r="C2526" s="36" t="s">
        <v>3783</v>
      </c>
      <c r="D2526" s="47" t="s">
        <v>42</v>
      </c>
      <c r="E2526" s="37">
        <v>0.63</v>
      </c>
      <c r="F2526" s="31">
        <v>11.324</v>
      </c>
      <c r="G2526" s="34">
        <f t="shared" si="45"/>
        <v>7.1341200000000002</v>
      </c>
      <c r="H2526" s="39">
        <f>SUM(G2526:G2526)</f>
        <v>7.1341200000000002</v>
      </c>
      <c r="I2526" s="40"/>
      <c r="J2526" s="156">
        <v>0</v>
      </c>
    </row>
    <row r="2527" spans="1:10" ht="15.75" hidden="1" thickBot="1" x14ac:dyDescent="0.3">
      <c r="A2527" s="223"/>
      <c r="B2527" s="226"/>
      <c r="C2527" s="36"/>
      <c r="D2527" s="36"/>
      <c r="E2527" s="37"/>
      <c r="F2527" s="31" t="s">
        <v>572</v>
      </c>
      <c r="G2527" s="34" t="str">
        <f t="shared" si="45"/>
        <v/>
      </c>
      <c r="H2527" s="35"/>
      <c r="I2527" s="31"/>
      <c r="J2527" s="156">
        <v>0</v>
      </c>
    </row>
    <row r="2528" spans="1:10" ht="15.75" hidden="1" thickBot="1" x14ac:dyDescent="0.3">
      <c r="A2528" s="221" t="s">
        <v>2219</v>
      </c>
      <c r="B2528" s="224" t="str">
        <f>INDEX(Orçamentária!A:B,MATCH(Composições!A2528,Orçamentária!A:A,0),2)</f>
        <v>Ferro chato 1"x3/16"</v>
      </c>
      <c r="C2528" s="41"/>
      <c r="D2528" s="26" t="str">
        <f>TRIM(INDEX(Orçamentária!C:C,MATCH(Composições!A2528,Orçamentária!A:A,0),1))</f>
        <v>m</v>
      </c>
      <c r="E2528" s="27"/>
      <c r="F2528" s="42" t="s">
        <v>572</v>
      </c>
      <c r="G2528" s="28" t="str">
        <f t="shared" si="45"/>
        <v/>
      </c>
      <c r="H2528" s="29"/>
      <c r="I2528" s="30"/>
      <c r="J2528" s="156">
        <v>0</v>
      </c>
    </row>
    <row r="2529" spans="1:10" ht="15.75" hidden="1" thickBot="1" x14ac:dyDescent="0.3">
      <c r="A2529" s="222"/>
      <c r="B2529" s="225"/>
      <c r="C2529" s="32"/>
      <c r="D2529" s="32"/>
      <c r="E2529" s="33"/>
      <c r="F2529" s="43" t="s">
        <v>572</v>
      </c>
      <c r="G2529" s="34" t="str">
        <f t="shared" si="45"/>
        <v/>
      </c>
      <c r="H2529" s="35"/>
      <c r="I2529" s="31"/>
      <c r="J2529" s="156">
        <v>0</v>
      </c>
    </row>
    <row r="2530" spans="1:10" ht="15.75" hidden="1" thickBot="1" x14ac:dyDescent="0.3">
      <c r="A2530" s="222"/>
      <c r="B2530" s="225"/>
      <c r="C2530" s="36" t="s">
        <v>3783</v>
      </c>
      <c r="D2530" s="47" t="s">
        <v>42</v>
      </c>
      <c r="E2530" s="37">
        <v>0.95</v>
      </c>
      <c r="F2530" s="31">
        <v>11.324</v>
      </c>
      <c r="G2530" s="34">
        <f t="shared" si="45"/>
        <v>10.7578</v>
      </c>
      <c r="H2530" s="39">
        <f>SUM(G2530:G2530)</f>
        <v>10.7578</v>
      </c>
      <c r="I2530" s="40"/>
      <c r="J2530" s="156">
        <v>0</v>
      </c>
    </row>
    <row r="2531" spans="1:10" ht="15.75" hidden="1" thickBot="1" x14ac:dyDescent="0.3">
      <c r="A2531" s="223"/>
      <c r="B2531" s="226"/>
      <c r="C2531" s="36"/>
      <c r="D2531" s="36"/>
      <c r="E2531" s="37"/>
      <c r="F2531" s="31" t="s">
        <v>572</v>
      </c>
      <c r="G2531" s="34" t="str">
        <f t="shared" si="45"/>
        <v/>
      </c>
      <c r="H2531" s="35"/>
      <c r="I2531" s="31"/>
      <c r="J2531" s="156">
        <v>0</v>
      </c>
    </row>
    <row r="2532" spans="1:10" ht="15.75" hidden="1" thickBot="1" x14ac:dyDescent="0.3">
      <c r="A2532" s="221" t="s">
        <v>2221</v>
      </c>
      <c r="B2532" s="224" t="str">
        <f>INDEX(Orçamentária!A:B,MATCH(Composições!A2532,Orçamentária!A:A,0),2)</f>
        <v>Ferro chato  3/4"x1/4" ou 7/8"x1/4" ou 1” x 1/4”</v>
      </c>
      <c r="C2532" s="41"/>
      <c r="D2532" s="26" t="str">
        <f>TRIM(INDEX(Orçamentária!C:C,MATCH(Composições!A2532,Orçamentária!A:A,0),1))</f>
        <v>m</v>
      </c>
      <c r="E2532" s="27"/>
      <c r="F2532" s="42" t="s">
        <v>572</v>
      </c>
      <c r="G2532" s="28" t="str">
        <f t="shared" si="45"/>
        <v/>
      </c>
      <c r="H2532" s="29"/>
      <c r="I2532" s="30"/>
      <c r="J2532" s="156">
        <v>0</v>
      </c>
    </row>
    <row r="2533" spans="1:10" ht="15.75" hidden="1" thickBot="1" x14ac:dyDescent="0.3">
      <c r="A2533" s="222"/>
      <c r="B2533" s="225"/>
      <c r="C2533" s="32"/>
      <c r="D2533" s="32"/>
      <c r="E2533" s="33"/>
      <c r="F2533" s="43" t="s">
        <v>572</v>
      </c>
      <c r="G2533" s="34" t="str">
        <f t="shared" si="45"/>
        <v/>
      </c>
      <c r="H2533" s="35"/>
      <c r="I2533" s="31"/>
      <c r="J2533" s="156">
        <v>0</v>
      </c>
    </row>
    <row r="2534" spans="1:10" ht="15.75" hidden="1" thickBot="1" x14ac:dyDescent="0.3">
      <c r="A2534" s="222"/>
      <c r="B2534" s="225"/>
      <c r="C2534" s="36" t="s">
        <v>3783</v>
      </c>
      <c r="D2534" s="47" t="s">
        <v>42</v>
      </c>
      <c r="E2534" s="37">
        <v>1.1100000000000001</v>
      </c>
      <c r="F2534" s="31">
        <v>11.324</v>
      </c>
      <c r="G2534" s="34">
        <f t="shared" si="45"/>
        <v>12.569640000000001</v>
      </c>
      <c r="H2534" s="39">
        <f>SUM(G2534:G2534)</f>
        <v>12.569640000000001</v>
      </c>
      <c r="I2534" s="40"/>
      <c r="J2534" s="156">
        <v>0</v>
      </c>
    </row>
    <row r="2535" spans="1:10" ht="15.75" hidden="1" thickBot="1" x14ac:dyDescent="0.3">
      <c r="A2535" s="223"/>
      <c r="B2535" s="226"/>
      <c r="C2535" s="36"/>
      <c r="D2535" s="36"/>
      <c r="E2535" s="37"/>
      <c r="F2535" s="31" t="s">
        <v>572</v>
      </c>
      <c r="G2535" s="34" t="str">
        <f t="shared" si="45"/>
        <v/>
      </c>
      <c r="H2535" s="35"/>
      <c r="I2535" s="31"/>
      <c r="J2535" s="156">
        <v>0</v>
      </c>
    </row>
    <row r="2536" spans="1:10" ht="15.75" hidden="1" thickBot="1" x14ac:dyDescent="0.3">
      <c r="A2536" s="221" t="s">
        <v>2223</v>
      </c>
      <c r="B2536" s="224" t="str">
        <f>INDEX(Orçamentária!A:B,MATCH(Composições!A2536,Orçamentária!A:A,0),2)</f>
        <v>Ferro chato 3/4"x1/8"</v>
      </c>
      <c r="C2536" s="41"/>
      <c r="D2536" s="26" t="str">
        <f>TRIM(INDEX(Orçamentária!C:C,MATCH(Composições!A2536,Orçamentária!A:A,0),1))</f>
        <v>m</v>
      </c>
      <c r="E2536" s="27"/>
      <c r="F2536" s="42" t="s">
        <v>572</v>
      </c>
      <c r="G2536" s="28" t="str">
        <f t="shared" si="45"/>
        <v/>
      </c>
      <c r="H2536" s="29"/>
      <c r="I2536" s="30"/>
      <c r="J2536" s="156">
        <v>0</v>
      </c>
    </row>
    <row r="2537" spans="1:10" ht="15.75" hidden="1" thickBot="1" x14ac:dyDescent="0.3">
      <c r="A2537" s="222"/>
      <c r="B2537" s="225"/>
      <c r="C2537" s="32"/>
      <c r="D2537" s="32"/>
      <c r="E2537" s="33"/>
      <c r="F2537" s="43" t="s">
        <v>572</v>
      </c>
      <c r="G2537" s="34" t="str">
        <f t="shared" si="45"/>
        <v/>
      </c>
      <c r="H2537" s="35"/>
      <c r="I2537" s="31"/>
      <c r="J2537" s="156">
        <v>0</v>
      </c>
    </row>
    <row r="2538" spans="1:10" ht="15.75" hidden="1" thickBot="1" x14ac:dyDescent="0.3">
      <c r="A2538" s="222"/>
      <c r="B2538" s="225"/>
      <c r="C2538" s="36" t="s">
        <v>3783</v>
      </c>
      <c r="D2538" s="47" t="s">
        <v>42</v>
      </c>
      <c r="E2538" s="37">
        <v>0.48</v>
      </c>
      <c r="F2538" s="31">
        <v>11.324</v>
      </c>
      <c r="G2538" s="34">
        <f t="shared" si="45"/>
        <v>5.4355199999999995</v>
      </c>
      <c r="H2538" s="39">
        <f>SUM(G2538:G2538)</f>
        <v>5.4355199999999995</v>
      </c>
      <c r="I2538" s="40"/>
      <c r="J2538" s="156">
        <v>0</v>
      </c>
    </row>
    <row r="2539" spans="1:10" ht="15.75" hidden="1" thickBot="1" x14ac:dyDescent="0.3">
      <c r="A2539" s="223"/>
      <c r="B2539" s="226"/>
      <c r="C2539" s="36"/>
      <c r="D2539" s="36"/>
      <c r="E2539" s="37"/>
      <c r="F2539" s="31" t="s">
        <v>572</v>
      </c>
      <c r="G2539" s="34" t="str">
        <f t="shared" si="45"/>
        <v/>
      </c>
      <c r="H2539" s="35"/>
      <c r="I2539" s="31"/>
      <c r="J2539" s="156">
        <v>0</v>
      </c>
    </row>
    <row r="2540" spans="1:10" ht="15.75" hidden="1" thickBot="1" x14ac:dyDescent="0.3">
      <c r="A2540" s="221" t="s">
        <v>2225</v>
      </c>
      <c r="B2540" s="224" t="str">
        <f>INDEX(Orçamentária!A:B,MATCH(Composições!A2540,Orçamentária!A:A,0),2)</f>
        <v>Ferro chato 3/4"x3/16"</v>
      </c>
      <c r="C2540" s="41"/>
      <c r="D2540" s="26" t="str">
        <f>TRIM(INDEX(Orçamentária!C:C,MATCH(Composições!A2540,Orçamentária!A:A,0),1))</f>
        <v>m</v>
      </c>
      <c r="E2540" s="27"/>
      <c r="F2540" s="42" t="s">
        <v>572</v>
      </c>
      <c r="G2540" s="28" t="str">
        <f t="shared" si="45"/>
        <v/>
      </c>
      <c r="H2540" s="29"/>
      <c r="I2540" s="30"/>
      <c r="J2540" s="156">
        <v>0</v>
      </c>
    </row>
    <row r="2541" spans="1:10" ht="15.75" hidden="1" thickBot="1" x14ac:dyDescent="0.3">
      <c r="A2541" s="222"/>
      <c r="B2541" s="225"/>
      <c r="C2541" s="32"/>
      <c r="D2541" s="32"/>
      <c r="E2541" s="33"/>
      <c r="F2541" s="43" t="s">
        <v>572</v>
      </c>
      <c r="G2541" s="34" t="str">
        <f t="shared" si="45"/>
        <v/>
      </c>
      <c r="H2541" s="35"/>
      <c r="I2541" s="31"/>
      <c r="J2541" s="156">
        <v>0</v>
      </c>
    </row>
    <row r="2542" spans="1:10" ht="15.75" hidden="1" thickBot="1" x14ac:dyDescent="0.3">
      <c r="A2542" s="222"/>
      <c r="B2542" s="225"/>
      <c r="C2542" s="36" t="s">
        <v>3783</v>
      </c>
      <c r="D2542" s="47" t="s">
        <v>42</v>
      </c>
      <c r="E2542" s="37">
        <v>0.71</v>
      </c>
      <c r="F2542" s="31">
        <v>11.324</v>
      </c>
      <c r="G2542" s="34">
        <f t="shared" si="45"/>
        <v>8.0400399999999994</v>
      </c>
      <c r="H2542" s="39">
        <f>SUM(G2542:G2542)</f>
        <v>8.0400399999999994</v>
      </c>
      <c r="I2542" s="40"/>
      <c r="J2542" s="156">
        <v>0</v>
      </c>
    </row>
    <row r="2543" spans="1:10" ht="15.75" hidden="1" thickBot="1" x14ac:dyDescent="0.3">
      <c r="A2543" s="223"/>
      <c r="B2543" s="226"/>
      <c r="C2543" s="36"/>
      <c r="D2543" s="36"/>
      <c r="E2543" s="37"/>
      <c r="F2543" s="31" t="s">
        <v>572</v>
      </c>
      <c r="G2543" s="34" t="str">
        <f t="shared" si="45"/>
        <v/>
      </c>
      <c r="H2543" s="35"/>
      <c r="I2543" s="31"/>
      <c r="J2543" s="156">
        <v>0</v>
      </c>
    </row>
    <row r="2544" spans="1:10" ht="15.75" hidden="1" thickBot="1" x14ac:dyDescent="0.3">
      <c r="A2544" s="221" t="s">
        <v>2227</v>
      </c>
      <c r="B2544" s="224" t="str">
        <f>INDEX(Orçamentária!A:B,MATCH(Composições!A2544,Orçamentária!A:A,0),2)</f>
        <v>Ferro chato 5/8"x1/8"</v>
      </c>
      <c r="C2544" s="41"/>
      <c r="D2544" s="26" t="str">
        <f>TRIM(INDEX(Orçamentária!C:C,MATCH(Composições!A2544,Orçamentária!A:A,0),1))</f>
        <v>m</v>
      </c>
      <c r="E2544" s="27"/>
      <c r="F2544" s="42" t="s">
        <v>572</v>
      </c>
      <c r="G2544" s="28" t="str">
        <f t="shared" si="45"/>
        <v/>
      </c>
      <c r="H2544" s="29"/>
      <c r="I2544" s="30"/>
      <c r="J2544" s="156">
        <v>0</v>
      </c>
    </row>
    <row r="2545" spans="1:10" ht="15.75" hidden="1" thickBot="1" x14ac:dyDescent="0.3">
      <c r="A2545" s="222"/>
      <c r="B2545" s="225"/>
      <c r="C2545" s="32"/>
      <c r="D2545" s="32"/>
      <c r="E2545" s="33"/>
      <c r="F2545" s="43" t="s">
        <v>572</v>
      </c>
      <c r="G2545" s="34" t="str">
        <f t="shared" si="45"/>
        <v/>
      </c>
      <c r="H2545" s="35"/>
      <c r="I2545" s="31"/>
      <c r="J2545" s="156">
        <v>0</v>
      </c>
    </row>
    <row r="2546" spans="1:10" ht="15.75" hidden="1" thickBot="1" x14ac:dyDescent="0.3">
      <c r="A2546" s="222"/>
      <c r="B2546" s="225"/>
      <c r="C2546" s="36" t="s">
        <v>3783</v>
      </c>
      <c r="D2546" s="47" t="s">
        <v>42</v>
      </c>
      <c r="E2546" s="37">
        <v>0.4</v>
      </c>
      <c r="F2546" s="31">
        <v>11.324</v>
      </c>
      <c r="G2546" s="34">
        <f t="shared" si="45"/>
        <v>4.5296000000000003</v>
      </c>
      <c r="H2546" s="39">
        <f>SUM(G2546:G2546)</f>
        <v>4.5296000000000003</v>
      </c>
      <c r="I2546" s="40"/>
      <c r="J2546" s="156">
        <v>0</v>
      </c>
    </row>
    <row r="2547" spans="1:10" ht="15.75" hidden="1" thickBot="1" x14ac:dyDescent="0.3">
      <c r="A2547" s="223"/>
      <c r="B2547" s="226"/>
      <c r="C2547" s="36"/>
      <c r="D2547" s="36"/>
      <c r="E2547" s="37"/>
      <c r="F2547" s="31" t="s">
        <v>572</v>
      </c>
      <c r="G2547" s="34" t="str">
        <f t="shared" si="45"/>
        <v/>
      </c>
      <c r="H2547" s="35"/>
      <c r="I2547" s="31"/>
      <c r="J2547" s="156">
        <v>0</v>
      </c>
    </row>
    <row r="2548" spans="1:10" ht="15.75" hidden="1" thickBot="1" x14ac:dyDescent="0.3">
      <c r="A2548" s="221" t="s">
        <v>2229</v>
      </c>
      <c r="B2548" s="224" t="str">
        <f>INDEX(Orçamentária!A:B,MATCH(Composições!A2548,Orçamentária!A:A,0),2)</f>
        <v>Ferro chato 5/8"x3/16"</v>
      </c>
      <c r="C2548" s="41"/>
      <c r="D2548" s="26" t="str">
        <f>TRIM(INDEX(Orçamentária!C:C,MATCH(Composições!A2548,Orçamentária!A:A,0),1))</f>
        <v>m</v>
      </c>
      <c r="E2548" s="27"/>
      <c r="F2548" s="42" t="s">
        <v>572</v>
      </c>
      <c r="G2548" s="28" t="str">
        <f t="shared" si="45"/>
        <v/>
      </c>
      <c r="H2548" s="29"/>
      <c r="I2548" s="30"/>
      <c r="J2548" s="156">
        <v>0</v>
      </c>
    </row>
    <row r="2549" spans="1:10" ht="15.75" hidden="1" thickBot="1" x14ac:dyDescent="0.3">
      <c r="A2549" s="222"/>
      <c r="B2549" s="225"/>
      <c r="C2549" s="32"/>
      <c r="D2549" s="32"/>
      <c r="E2549" s="33"/>
      <c r="F2549" s="43" t="s">
        <v>572</v>
      </c>
      <c r="G2549" s="34" t="str">
        <f t="shared" si="45"/>
        <v/>
      </c>
      <c r="H2549" s="35"/>
      <c r="I2549" s="31"/>
      <c r="J2549" s="156">
        <v>0</v>
      </c>
    </row>
    <row r="2550" spans="1:10" ht="15.75" hidden="1" thickBot="1" x14ac:dyDescent="0.3">
      <c r="A2550" s="222"/>
      <c r="B2550" s="225"/>
      <c r="C2550" s="36" t="s">
        <v>3783</v>
      </c>
      <c r="D2550" s="47" t="s">
        <v>42</v>
      </c>
      <c r="E2550" s="37">
        <v>0.79</v>
      </c>
      <c r="F2550" s="31">
        <v>11.324</v>
      </c>
      <c r="G2550" s="34">
        <f t="shared" si="45"/>
        <v>8.9459599999999995</v>
      </c>
      <c r="H2550" s="39">
        <f>SUM(G2550:G2550)</f>
        <v>8.9459599999999995</v>
      </c>
      <c r="I2550" s="40"/>
      <c r="J2550" s="156">
        <v>0</v>
      </c>
    </row>
    <row r="2551" spans="1:10" ht="15.75" hidden="1" thickBot="1" x14ac:dyDescent="0.3">
      <c r="A2551" s="223"/>
      <c r="B2551" s="226"/>
      <c r="C2551" s="36"/>
      <c r="D2551" s="36"/>
      <c r="E2551" s="37"/>
      <c r="F2551" s="31" t="s">
        <v>572</v>
      </c>
      <c r="G2551" s="34" t="str">
        <f t="shared" si="45"/>
        <v/>
      </c>
      <c r="H2551" s="35"/>
      <c r="I2551" s="31"/>
      <c r="J2551" s="156">
        <v>0</v>
      </c>
    </row>
    <row r="2552" spans="1:10" ht="15.75" hidden="1" thickBot="1" x14ac:dyDescent="0.3">
      <c r="A2552" s="221" t="s">
        <v>2231</v>
      </c>
      <c r="B2552" s="224" t="str">
        <f>INDEX(Orçamentária!A:B,MATCH(Composições!A2552,Orçamentária!A:A,0),2)</f>
        <v>Ferro chato 7/8"x1/8"</v>
      </c>
      <c r="C2552" s="41"/>
      <c r="D2552" s="26" t="str">
        <f>TRIM(INDEX(Orçamentária!C:C,MATCH(Composições!A2552,Orçamentária!A:A,0),1))</f>
        <v>m</v>
      </c>
      <c r="E2552" s="27"/>
      <c r="F2552" s="42" t="s">
        <v>572</v>
      </c>
      <c r="G2552" s="28" t="str">
        <f t="shared" si="45"/>
        <v/>
      </c>
      <c r="H2552" s="29"/>
      <c r="I2552" s="30"/>
      <c r="J2552" s="156">
        <v>0</v>
      </c>
    </row>
    <row r="2553" spans="1:10" ht="15.75" hidden="1" thickBot="1" x14ac:dyDescent="0.3">
      <c r="A2553" s="222"/>
      <c r="B2553" s="225"/>
      <c r="C2553" s="32"/>
      <c r="D2553" s="32"/>
      <c r="E2553" s="33"/>
      <c r="F2553" s="43" t="s">
        <v>572</v>
      </c>
      <c r="G2553" s="34" t="str">
        <f t="shared" si="45"/>
        <v/>
      </c>
      <c r="H2553" s="35"/>
      <c r="I2553" s="31"/>
      <c r="J2553" s="156">
        <v>0</v>
      </c>
    </row>
    <row r="2554" spans="1:10" ht="15.75" hidden="1" thickBot="1" x14ac:dyDescent="0.3">
      <c r="A2554" s="222"/>
      <c r="B2554" s="225"/>
      <c r="C2554" s="36" t="s">
        <v>3783</v>
      </c>
      <c r="D2554" s="47" t="s">
        <v>42</v>
      </c>
      <c r="E2554" s="37">
        <v>0.55000000000000004</v>
      </c>
      <c r="F2554" s="31">
        <v>11.324</v>
      </c>
      <c r="G2554" s="34">
        <f t="shared" si="45"/>
        <v>6.2282000000000002</v>
      </c>
      <c r="H2554" s="39">
        <f>SUM(G2554:G2554)</f>
        <v>6.2282000000000002</v>
      </c>
      <c r="I2554" s="40"/>
      <c r="J2554" s="156">
        <v>0</v>
      </c>
    </row>
    <row r="2555" spans="1:10" ht="15.75" hidden="1" thickBot="1" x14ac:dyDescent="0.3">
      <c r="A2555" s="223"/>
      <c r="B2555" s="226"/>
      <c r="C2555" s="36"/>
      <c r="D2555" s="36"/>
      <c r="E2555" s="37"/>
      <c r="F2555" s="31" t="s">
        <v>572</v>
      </c>
      <c r="G2555" s="34" t="str">
        <f t="shared" si="45"/>
        <v/>
      </c>
      <c r="H2555" s="35"/>
      <c r="I2555" s="31"/>
      <c r="J2555" s="156">
        <v>0</v>
      </c>
    </row>
    <row r="2556" spans="1:10" ht="15.75" hidden="1" thickBot="1" x14ac:dyDescent="0.3">
      <c r="A2556" s="221" t="s">
        <v>2233</v>
      </c>
      <c r="B2556" s="224" t="str">
        <f>INDEX(Orçamentária!A:B,MATCH(Composições!A2556,Orçamentária!A:A,0),2)</f>
        <v>Ferro chato 7/8"x3/16"</v>
      </c>
      <c r="C2556" s="41"/>
      <c r="D2556" s="26" t="str">
        <f>TRIM(INDEX(Orçamentária!C:C,MATCH(Composições!A2556,Orçamentária!A:A,0),1))</f>
        <v>m</v>
      </c>
      <c r="E2556" s="27"/>
      <c r="F2556" s="42" t="s">
        <v>572</v>
      </c>
      <c r="G2556" s="28" t="str">
        <f t="shared" si="45"/>
        <v/>
      </c>
      <c r="H2556" s="29"/>
      <c r="I2556" s="30"/>
      <c r="J2556" s="156">
        <v>0</v>
      </c>
    </row>
    <row r="2557" spans="1:10" ht="15.75" hidden="1" thickBot="1" x14ac:dyDescent="0.3">
      <c r="A2557" s="222"/>
      <c r="B2557" s="225"/>
      <c r="C2557" s="32"/>
      <c r="D2557" s="32"/>
      <c r="E2557" s="33"/>
      <c r="F2557" s="43" t="s">
        <v>572</v>
      </c>
      <c r="G2557" s="34" t="str">
        <f t="shared" si="45"/>
        <v/>
      </c>
      <c r="H2557" s="35"/>
      <c r="I2557" s="31"/>
      <c r="J2557" s="156">
        <v>0</v>
      </c>
    </row>
    <row r="2558" spans="1:10" ht="15.75" hidden="1" thickBot="1" x14ac:dyDescent="0.3">
      <c r="A2558" s="222"/>
      <c r="B2558" s="225"/>
      <c r="C2558" s="36" t="s">
        <v>3783</v>
      </c>
      <c r="D2558" s="47" t="s">
        <v>42</v>
      </c>
      <c r="E2558" s="37">
        <v>0.83</v>
      </c>
      <c r="F2558" s="31">
        <v>11.324</v>
      </c>
      <c r="G2558" s="34">
        <f t="shared" si="45"/>
        <v>9.3989199999999986</v>
      </c>
      <c r="H2558" s="39">
        <f>SUM(G2558:G2558)</f>
        <v>9.3989199999999986</v>
      </c>
      <c r="I2558" s="40"/>
      <c r="J2558" s="156">
        <v>0</v>
      </c>
    </row>
    <row r="2559" spans="1:10" ht="15.75" hidden="1" thickBot="1" x14ac:dyDescent="0.3">
      <c r="A2559" s="223"/>
      <c r="B2559" s="226"/>
      <c r="C2559" s="36"/>
      <c r="D2559" s="36"/>
      <c r="E2559" s="37"/>
      <c r="F2559" s="31" t="s">
        <v>572</v>
      </c>
      <c r="G2559" s="34" t="str">
        <f t="shared" si="45"/>
        <v/>
      </c>
      <c r="H2559" s="35"/>
      <c r="I2559" s="31"/>
      <c r="J2559" s="156">
        <v>0</v>
      </c>
    </row>
    <row r="2560" spans="1:10" ht="15.75" hidden="1" thickBot="1" x14ac:dyDescent="0.3">
      <c r="A2560" s="221" t="s">
        <v>2320</v>
      </c>
      <c r="B2560" s="224" t="str">
        <f>INDEX(Orçamentária!A:B,MATCH(Composições!A2560,Orçamentária!A:A,0),2)</f>
        <v>Tela de estuque</v>
      </c>
      <c r="C2560" s="41"/>
      <c r="D2560" s="26" t="str">
        <f>TRIM(INDEX(Orçamentária!C:C,MATCH(Composições!A2560,Orçamentária!A:A,0),1))</f>
        <v>m2</v>
      </c>
      <c r="E2560" s="27"/>
      <c r="F2560" s="42" t="s">
        <v>572</v>
      </c>
      <c r="G2560" s="28" t="str">
        <f t="shared" si="45"/>
        <v/>
      </c>
      <c r="H2560" s="29"/>
      <c r="I2560" s="30"/>
      <c r="J2560" s="156">
        <v>0</v>
      </c>
    </row>
    <row r="2561" spans="1:10" ht="15.75" hidden="1" thickBot="1" x14ac:dyDescent="0.3">
      <c r="A2561" s="222"/>
      <c r="B2561" s="225"/>
      <c r="C2561" s="32"/>
      <c r="D2561" s="32"/>
      <c r="E2561" s="33"/>
      <c r="F2561" s="43" t="s">
        <v>572</v>
      </c>
      <c r="G2561" s="34" t="str">
        <f t="shared" si="45"/>
        <v/>
      </c>
      <c r="H2561" s="35"/>
      <c r="I2561" s="31"/>
      <c r="J2561" s="156">
        <v>0</v>
      </c>
    </row>
    <row r="2562" spans="1:10" ht="15.75" hidden="1" thickBot="1" x14ac:dyDescent="0.3">
      <c r="A2562" s="222"/>
      <c r="B2562" s="225"/>
      <c r="C2562" s="36" t="s">
        <v>3479</v>
      </c>
      <c r="D2562" s="47" t="s">
        <v>96</v>
      </c>
      <c r="E2562" s="37">
        <v>1</v>
      </c>
      <c r="F2562" s="31">
        <v>5.0444999999999993</v>
      </c>
      <c r="G2562" s="34">
        <f t="shared" si="45"/>
        <v>5.0444999999999993</v>
      </c>
      <c r="H2562" s="39">
        <f>SUM(G2562:G2562)</f>
        <v>5.0444999999999993</v>
      </c>
      <c r="I2562" s="40"/>
      <c r="J2562" s="156">
        <v>0</v>
      </c>
    </row>
    <row r="2563" spans="1:10" ht="15.75" hidden="1" thickBot="1" x14ac:dyDescent="0.3">
      <c r="A2563" s="223"/>
      <c r="B2563" s="226"/>
      <c r="C2563" s="36"/>
      <c r="D2563" s="36"/>
      <c r="E2563" s="37"/>
      <c r="F2563" s="31" t="s">
        <v>572</v>
      </c>
      <c r="G2563" s="34" t="str">
        <f t="shared" si="45"/>
        <v/>
      </c>
      <c r="H2563" s="35"/>
      <c r="I2563" s="31"/>
      <c r="J2563" s="156">
        <v>0</v>
      </c>
    </row>
    <row r="2564" spans="1:10" ht="15.75" hidden="1" thickBot="1" x14ac:dyDescent="0.3">
      <c r="A2564" s="221" t="s">
        <v>2324</v>
      </c>
      <c r="B2564" s="224" t="str">
        <f>INDEX(Orçamentária!A:B,MATCH(Composições!A2564,Orçamentária!A:A,0),2)</f>
        <v>Arame galvanizado, bitola 16 BWG (1,65mm)</v>
      </c>
      <c r="C2564" s="41"/>
      <c r="D2564" s="26" t="str">
        <f>TRIM(INDEX(Orçamentária!C:C,MATCH(Composições!A2564,Orçamentária!A:A,0),1))</f>
        <v>kg</v>
      </c>
      <c r="E2564" s="27"/>
      <c r="F2564" s="42" t="s">
        <v>572</v>
      </c>
      <c r="G2564" s="28" t="str">
        <f t="shared" si="45"/>
        <v/>
      </c>
      <c r="H2564" s="29"/>
      <c r="I2564" s="30"/>
      <c r="J2564" s="156">
        <v>0</v>
      </c>
    </row>
    <row r="2565" spans="1:10" ht="15.75" hidden="1" thickBot="1" x14ac:dyDescent="0.3">
      <c r="A2565" s="222"/>
      <c r="B2565" s="225"/>
      <c r="C2565" s="32"/>
      <c r="D2565" s="32"/>
      <c r="E2565" s="33"/>
      <c r="F2565" s="43" t="s">
        <v>572</v>
      </c>
      <c r="G2565" s="34" t="str">
        <f t="shared" si="45"/>
        <v/>
      </c>
      <c r="H2565" s="35"/>
      <c r="I2565" s="31"/>
      <c r="J2565" s="156">
        <v>0</v>
      </c>
    </row>
    <row r="2566" spans="1:10" ht="15.75" hidden="1" thickBot="1" x14ac:dyDescent="0.3">
      <c r="A2566" s="222"/>
      <c r="B2566" s="225"/>
      <c r="C2566" s="36" t="s">
        <v>3442</v>
      </c>
      <c r="D2566" s="47" t="s">
        <v>42</v>
      </c>
      <c r="E2566" s="37">
        <v>1</v>
      </c>
      <c r="F2566" s="31">
        <v>24.766500000000001</v>
      </c>
      <c r="G2566" s="34">
        <f t="shared" si="45"/>
        <v>24.766500000000001</v>
      </c>
      <c r="H2566" s="39">
        <f>SUM(G2566:G2566)</f>
        <v>24.766500000000001</v>
      </c>
      <c r="I2566" s="40"/>
      <c r="J2566" s="156">
        <v>0</v>
      </c>
    </row>
    <row r="2567" spans="1:10" ht="15.75" hidden="1" thickBot="1" x14ac:dyDescent="0.3">
      <c r="A2567" s="223"/>
      <c r="B2567" s="226"/>
      <c r="C2567" s="36"/>
      <c r="D2567" s="36"/>
      <c r="E2567" s="37"/>
      <c r="F2567" s="31" t="s">
        <v>572</v>
      </c>
      <c r="G2567" s="34" t="str">
        <f t="shared" si="45"/>
        <v/>
      </c>
      <c r="H2567" s="35"/>
      <c r="I2567" s="31"/>
      <c r="J2567" s="156">
        <v>0</v>
      </c>
    </row>
    <row r="2568" spans="1:10" ht="15.75" hidden="1" thickBot="1" x14ac:dyDescent="0.3">
      <c r="A2568" s="221" t="s">
        <v>2328</v>
      </c>
      <c r="B2568" s="224" t="str">
        <f>INDEX(Orçamentária!A:B,MATCH(Composições!A2568,Orçamentária!A:A,0),2)</f>
        <v>Tela em aço galvanizado, tipo alambrado, malha 2, fio 12</v>
      </c>
      <c r="C2568" s="41"/>
      <c r="D2568" s="26" t="str">
        <f>TRIM(INDEX(Orçamentária!C:C,MATCH(Composições!A2568,Orçamentária!A:A,0),1))</f>
        <v>m2</v>
      </c>
      <c r="E2568" s="27"/>
      <c r="F2568" s="42" t="s">
        <v>572</v>
      </c>
      <c r="G2568" s="28" t="str">
        <f t="shared" si="45"/>
        <v/>
      </c>
      <c r="H2568" s="29"/>
      <c r="I2568" s="30"/>
      <c r="J2568" s="156">
        <v>0</v>
      </c>
    </row>
    <row r="2569" spans="1:10" ht="15.75" hidden="1" thickBot="1" x14ac:dyDescent="0.3">
      <c r="A2569" s="222"/>
      <c r="B2569" s="225"/>
      <c r="C2569" s="32"/>
      <c r="D2569" s="32"/>
      <c r="E2569" s="33"/>
      <c r="F2569" s="43" t="s">
        <v>572</v>
      </c>
      <c r="G2569" s="34" t="str">
        <f t="shared" si="45"/>
        <v/>
      </c>
      <c r="H2569" s="35"/>
      <c r="I2569" s="31"/>
      <c r="J2569" s="156">
        <v>0</v>
      </c>
    </row>
    <row r="2570" spans="1:10" ht="26.25" hidden="1" thickBot="1" x14ac:dyDescent="0.3">
      <c r="A2570" s="222"/>
      <c r="B2570" s="225"/>
      <c r="C2570" s="36" t="s">
        <v>3478</v>
      </c>
      <c r="D2570" s="47" t="s">
        <v>96</v>
      </c>
      <c r="E2570" s="37">
        <v>1</v>
      </c>
      <c r="F2570" s="31">
        <v>35.909999999999997</v>
      </c>
      <c r="G2570" s="34">
        <f t="shared" si="45"/>
        <v>35.909999999999997</v>
      </c>
      <c r="H2570" s="39">
        <f>SUM(G2570:G2570)</f>
        <v>35.909999999999997</v>
      </c>
      <c r="I2570" s="40"/>
      <c r="J2570" s="156">
        <v>0</v>
      </c>
    </row>
    <row r="2571" spans="1:10" ht="15.75" hidden="1" thickBot="1" x14ac:dyDescent="0.3">
      <c r="A2571" s="223"/>
      <c r="B2571" s="226"/>
      <c r="C2571" s="36"/>
      <c r="D2571" s="36"/>
      <c r="E2571" s="37"/>
      <c r="F2571" s="31" t="s">
        <v>572</v>
      </c>
      <c r="G2571" s="34" t="str">
        <f t="shared" si="45"/>
        <v/>
      </c>
      <c r="H2571" s="35"/>
      <c r="I2571" s="31"/>
      <c r="J2571" s="156">
        <v>0</v>
      </c>
    </row>
    <row r="2572" spans="1:10" ht="15.75" hidden="1" thickBot="1" x14ac:dyDescent="0.3">
      <c r="A2572" s="221" t="s">
        <v>2330</v>
      </c>
      <c r="B2572" s="224" t="str">
        <f>INDEX(Orçamentária!A:B,MATCH(Composições!A2572,Orçamentária!A:A,0),2)</f>
        <v>Massa Adesiva Plástica</v>
      </c>
      <c r="C2572" s="41"/>
      <c r="D2572" s="26" t="str">
        <f>TRIM(INDEX(Orçamentária!C:C,MATCH(Composições!A2572,Orçamentária!A:A,0),1))</f>
        <v>un</v>
      </c>
      <c r="E2572" s="27"/>
      <c r="F2572" s="42" t="s">
        <v>572</v>
      </c>
      <c r="G2572" s="28" t="str">
        <f t="shared" si="45"/>
        <v/>
      </c>
      <c r="H2572" s="29"/>
      <c r="I2572" s="30"/>
      <c r="J2572" s="156">
        <v>0</v>
      </c>
    </row>
    <row r="2573" spans="1:10" ht="15.75" hidden="1" thickBot="1" x14ac:dyDescent="0.3">
      <c r="A2573" s="222"/>
      <c r="B2573" s="225"/>
      <c r="C2573" s="32"/>
      <c r="D2573" s="32"/>
      <c r="E2573" s="33"/>
      <c r="F2573" s="43" t="s">
        <v>572</v>
      </c>
      <c r="G2573" s="34" t="str">
        <f t="shared" si="45"/>
        <v/>
      </c>
      <c r="H2573" s="35"/>
      <c r="I2573" s="31"/>
      <c r="J2573" s="156">
        <v>0</v>
      </c>
    </row>
    <row r="2574" spans="1:10" ht="15.75" hidden="1" thickBot="1" x14ac:dyDescent="0.3">
      <c r="A2574" s="222"/>
      <c r="B2574" s="225"/>
      <c r="C2574" s="36" t="s">
        <v>3466</v>
      </c>
      <c r="D2574" s="47" t="s">
        <v>42</v>
      </c>
      <c r="E2574" s="37">
        <v>0.4</v>
      </c>
      <c r="F2574" s="31">
        <v>26.685499999999998</v>
      </c>
      <c r="G2574" s="34">
        <f t="shared" si="45"/>
        <v>10.674199999999999</v>
      </c>
      <c r="H2574" s="39">
        <f>SUM(G2574:G2574)</f>
        <v>10.674199999999999</v>
      </c>
      <c r="I2574" s="40"/>
      <c r="J2574" s="156">
        <v>0</v>
      </c>
    </row>
    <row r="2575" spans="1:10" ht="15.75" hidden="1" thickBot="1" x14ac:dyDescent="0.3">
      <c r="A2575" s="223"/>
      <c r="B2575" s="226"/>
      <c r="C2575" s="36"/>
      <c r="D2575" s="36"/>
      <c r="E2575" s="37"/>
      <c r="F2575" s="31" t="s">
        <v>572</v>
      </c>
      <c r="G2575" s="34" t="str">
        <f t="shared" si="45"/>
        <v/>
      </c>
      <c r="H2575" s="35"/>
      <c r="I2575" s="31"/>
      <c r="J2575" s="156">
        <v>0</v>
      </c>
    </row>
    <row r="2576" spans="1:10" ht="15.75" hidden="1" thickBot="1" x14ac:dyDescent="0.3">
      <c r="A2576" s="221" t="s">
        <v>800</v>
      </c>
      <c r="B2576" s="224" t="str">
        <f>INDEX(Orçamentária!A:B,MATCH(Composições!A2576,Orçamentária!A:A,0),2)</f>
        <v>Argamassa Para Contrapiso</v>
      </c>
      <c r="C2576" s="41"/>
      <c r="D2576" s="26" t="str">
        <f>TRIM(INDEX(Orçamentária!C:C,MATCH(Composições!A2576,Orçamentária!A:A,0),1))</f>
        <v>40 kg</v>
      </c>
      <c r="E2576" s="27"/>
      <c r="F2576" s="42" t="s">
        <v>572</v>
      </c>
      <c r="G2576" s="28" t="str">
        <f t="shared" si="45"/>
        <v/>
      </c>
      <c r="H2576" s="29"/>
      <c r="I2576" s="30"/>
      <c r="J2576" s="156">
        <v>0</v>
      </c>
    </row>
    <row r="2577" spans="1:10" ht="15.75" hidden="1" thickBot="1" x14ac:dyDescent="0.3">
      <c r="A2577" s="222"/>
      <c r="B2577" s="225"/>
      <c r="C2577" s="32"/>
      <c r="D2577" s="32"/>
      <c r="E2577" s="33"/>
      <c r="F2577" s="43" t="s">
        <v>572</v>
      </c>
      <c r="G2577" s="34" t="str">
        <f t="shared" si="45"/>
        <v/>
      </c>
      <c r="H2577" s="35"/>
      <c r="I2577" s="31"/>
      <c r="J2577" s="156">
        <v>0</v>
      </c>
    </row>
    <row r="2578" spans="1:10" ht="15.75" hidden="1" thickBot="1" x14ac:dyDescent="0.3">
      <c r="A2578" s="222"/>
      <c r="B2578" s="225"/>
      <c r="C2578" s="36" t="s">
        <v>801</v>
      </c>
      <c r="D2578" s="47" t="s">
        <v>42</v>
      </c>
      <c r="E2578" s="37">
        <v>40</v>
      </c>
      <c r="F2578" s="31">
        <v>0.437</v>
      </c>
      <c r="G2578" s="34">
        <f t="shared" ref="G2578:G2641" si="46">IF(ISNUMBER(F2578),E2578*F2578,"")</f>
        <v>17.48</v>
      </c>
      <c r="H2578" s="39">
        <f>SUM(G2578:G2578)</f>
        <v>17.48</v>
      </c>
      <c r="I2578" s="40"/>
      <c r="J2578" s="156">
        <v>0</v>
      </c>
    </row>
    <row r="2579" spans="1:10" ht="15.75" hidden="1" thickBot="1" x14ac:dyDescent="0.3">
      <c r="A2579" s="223"/>
      <c r="B2579" s="226"/>
      <c r="C2579" s="36"/>
      <c r="D2579" s="36"/>
      <c r="E2579" s="37"/>
      <c r="F2579" s="31" t="s">
        <v>572</v>
      </c>
      <c r="G2579" s="34" t="str">
        <f t="shared" si="46"/>
        <v/>
      </c>
      <c r="H2579" s="35"/>
      <c r="I2579" s="31"/>
      <c r="J2579" s="156">
        <v>0</v>
      </c>
    </row>
    <row r="2580" spans="1:10" ht="15.75" hidden="1" thickBot="1" x14ac:dyDescent="0.3">
      <c r="A2580" s="221" t="s">
        <v>802</v>
      </c>
      <c r="B2580" s="224" t="str">
        <f>INDEX(Orçamentária!A:B,MATCH(Composições!A2580,Orçamentária!A:A,0),2)</f>
        <v>Argamassa Múltiplo Uso</v>
      </c>
      <c r="C2580" s="41"/>
      <c r="D2580" s="26" t="str">
        <f>TRIM(INDEX(Orçamentária!C:C,MATCH(Composições!A2580,Orçamentária!A:A,0),1))</f>
        <v>40 kg</v>
      </c>
      <c r="E2580" s="27"/>
      <c r="F2580" s="42" t="s">
        <v>572</v>
      </c>
      <c r="G2580" s="28" t="str">
        <f t="shared" si="46"/>
        <v/>
      </c>
      <c r="H2580" s="29"/>
      <c r="I2580" s="30"/>
      <c r="J2580" s="156">
        <v>0</v>
      </c>
    </row>
    <row r="2581" spans="1:10" ht="15.75" hidden="1" thickBot="1" x14ac:dyDescent="0.3">
      <c r="A2581" s="222"/>
      <c r="B2581" s="225"/>
      <c r="C2581" s="32"/>
      <c r="D2581" s="32"/>
      <c r="E2581" s="33"/>
      <c r="F2581" s="43" t="s">
        <v>572</v>
      </c>
      <c r="G2581" s="34" t="str">
        <f t="shared" si="46"/>
        <v/>
      </c>
      <c r="H2581" s="35"/>
      <c r="I2581" s="31"/>
      <c r="J2581" s="156">
        <v>0</v>
      </c>
    </row>
    <row r="2582" spans="1:10" ht="26.25" hidden="1" thickBot="1" x14ac:dyDescent="0.3">
      <c r="A2582" s="222"/>
      <c r="B2582" s="225"/>
      <c r="C2582" s="36" t="s">
        <v>803</v>
      </c>
      <c r="D2582" s="47" t="s">
        <v>42</v>
      </c>
      <c r="E2582" s="37">
        <v>40</v>
      </c>
      <c r="F2582" s="31">
        <v>0.46549999999999997</v>
      </c>
      <c r="G2582" s="34">
        <f t="shared" si="46"/>
        <v>18.619999999999997</v>
      </c>
      <c r="H2582" s="39">
        <f>SUM(G2582:G2582)</f>
        <v>18.619999999999997</v>
      </c>
      <c r="I2582" s="40"/>
      <c r="J2582" s="156">
        <v>0</v>
      </c>
    </row>
    <row r="2583" spans="1:10" ht="15.75" hidden="1" thickBot="1" x14ac:dyDescent="0.3">
      <c r="A2583" s="223"/>
      <c r="B2583" s="226"/>
      <c r="C2583" s="36"/>
      <c r="D2583" s="36"/>
      <c r="E2583" s="37"/>
      <c r="F2583" s="31" t="s">
        <v>572</v>
      </c>
      <c r="G2583" s="34" t="str">
        <f t="shared" si="46"/>
        <v/>
      </c>
      <c r="H2583" s="35"/>
      <c r="I2583" s="31"/>
      <c r="J2583" s="156">
        <v>0</v>
      </c>
    </row>
    <row r="2584" spans="1:10" ht="15.75" hidden="1" thickBot="1" x14ac:dyDescent="0.3">
      <c r="A2584" s="221" t="s">
        <v>804</v>
      </c>
      <c r="B2584" s="224" t="str">
        <f>INDEX(Orçamentária!A:B,MATCH(Composições!A2584,Orçamentária!A:A,0),2)</f>
        <v>Cimento Portland CP II E 32</v>
      </c>
      <c r="C2584" s="41"/>
      <c r="D2584" s="26" t="str">
        <f>TRIM(INDEX(Orçamentária!C:C,MATCH(Composições!A2584,Orçamentária!A:A,0),1))</f>
        <v>50 kg</v>
      </c>
      <c r="E2584" s="27"/>
      <c r="F2584" s="42" t="s">
        <v>572</v>
      </c>
      <c r="G2584" s="28" t="str">
        <f t="shared" si="46"/>
        <v/>
      </c>
      <c r="H2584" s="29"/>
      <c r="I2584" s="30"/>
      <c r="J2584" s="156">
        <v>0</v>
      </c>
    </row>
    <row r="2585" spans="1:10" ht="15.75" hidden="1" thickBot="1" x14ac:dyDescent="0.3">
      <c r="A2585" s="222"/>
      <c r="B2585" s="225"/>
      <c r="C2585" s="32"/>
      <c r="D2585" s="32"/>
      <c r="E2585" s="33"/>
      <c r="F2585" s="43" t="s">
        <v>572</v>
      </c>
      <c r="G2585" s="34" t="str">
        <f t="shared" si="46"/>
        <v/>
      </c>
      <c r="H2585" s="35"/>
      <c r="I2585" s="31"/>
      <c r="J2585" s="156">
        <v>0</v>
      </c>
    </row>
    <row r="2586" spans="1:10" ht="15.75" hidden="1" thickBot="1" x14ac:dyDescent="0.3">
      <c r="A2586" s="222"/>
      <c r="B2586" s="225"/>
      <c r="C2586" s="36" t="s">
        <v>805</v>
      </c>
      <c r="D2586" s="47" t="s">
        <v>42</v>
      </c>
      <c r="E2586" s="37">
        <v>50</v>
      </c>
      <c r="F2586" s="31">
        <v>0.47499999999999998</v>
      </c>
      <c r="G2586" s="34">
        <f t="shared" si="46"/>
        <v>23.75</v>
      </c>
      <c r="H2586" s="39">
        <f>SUM(G2586:G2586)</f>
        <v>23.75</v>
      </c>
      <c r="I2586" s="40"/>
      <c r="J2586" s="156">
        <v>0</v>
      </c>
    </row>
    <row r="2587" spans="1:10" ht="15.75" hidden="1" thickBot="1" x14ac:dyDescent="0.3">
      <c r="A2587" s="223"/>
      <c r="B2587" s="226"/>
      <c r="C2587" s="36"/>
      <c r="D2587" s="36"/>
      <c r="E2587" s="37"/>
      <c r="F2587" s="31" t="s">
        <v>572</v>
      </c>
      <c r="G2587" s="34" t="str">
        <f t="shared" si="46"/>
        <v/>
      </c>
      <c r="H2587" s="35"/>
      <c r="I2587" s="31"/>
      <c r="J2587" s="156">
        <v>0</v>
      </c>
    </row>
    <row r="2588" spans="1:10" ht="15.75" hidden="1" thickBot="1" x14ac:dyDescent="0.3">
      <c r="A2588" s="221" t="s">
        <v>806</v>
      </c>
      <c r="B2588" s="224" t="str">
        <f>INDEX(Orçamentária!A:B,MATCH(Composições!A2588,Orçamentária!A:A,0),2)</f>
        <v>Argamassa Colante tipo AC III</v>
      </c>
      <c r="C2588" s="41"/>
      <c r="D2588" s="26" t="str">
        <f>TRIM(INDEX(Orçamentária!C:C,MATCH(Composições!A2588,Orçamentária!A:A,0),1))</f>
        <v>20 kg</v>
      </c>
      <c r="E2588" s="27"/>
      <c r="F2588" s="42" t="s">
        <v>572</v>
      </c>
      <c r="G2588" s="28" t="str">
        <f t="shared" si="46"/>
        <v/>
      </c>
      <c r="H2588" s="29"/>
      <c r="I2588" s="30"/>
      <c r="J2588" s="156">
        <v>0</v>
      </c>
    </row>
    <row r="2589" spans="1:10" ht="15.75" hidden="1" thickBot="1" x14ac:dyDescent="0.3">
      <c r="A2589" s="222"/>
      <c r="B2589" s="225"/>
      <c r="C2589" s="32"/>
      <c r="D2589" s="32"/>
      <c r="E2589" s="33"/>
      <c r="F2589" s="43" t="s">
        <v>572</v>
      </c>
      <c r="G2589" s="34" t="str">
        <f t="shared" si="46"/>
        <v/>
      </c>
      <c r="H2589" s="35"/>
      <c r="I2589" s="31"/>
      <c r="J2589" s="156">
        <v>0</v>
      </c>
    </row>
    <row r="2590" spans="1:10" ht="15.75" hidden="1" thickBot="1" x14ac:dyDescent="0.3">
      <c r="A2590" s="222"/>
      <c r="B2590" s="225"/>
      <c r="C2590" s="36" t="s">
        <v>3623</v>
      </c>
      <c r="D2590" s="47" t="s">
        <v>42</v>
      </c>
      <c r="E2590" s="37">
        <v>20</v>
      </c>
      <c r="F2590" s="31">
        <v>1.3109999999999999</v>
      </c>
      <c r="G2590" s="34">
        <f t="shared" si="46"/>
        <v>26.22</v>
      </c>
      <c r="H2590" s="39">
        <f>SUM(G2590:G2590)</f>
        <v>26.22</v>
      </c>
      <c r="I2590" s="40"/>
      <c r="J2590" s="156">
        <v>0</v>
      </c>
    </row>
    <row r="2591" spans="1:10" ht="15.75" hidden="1" thickBot="1" x14ac:dyDescent="0.3">
      <c r="A2591" s="223"/>
      <c r="B2591" s="226"/>
      <c r="C2591" s="36"/>
      <c r="D2591" s="36"/>
      <c r="E2591" s="37"/>
      <c r="F2591" s="31" t="s">
        <v>572</v>
      </c>
      <c r="G2591" s="34" t="str">
        <f t="shared" si="46"/>
        <v/>
      </c>
      <c r="H2591" s="35"/>
      <c r="I2591" s="31"/>
      <c r="J2591" s="156">
        <v>0</v>
      </c>
    </row>
    <row r="2592" spans="1:10" ht="15.75" hidden="1" thickBot="1" x14ac:dyDescent="0.3">
      <c r="A2592" s="221" t="s">
        <v>807</v>
      </c>
      <c r="B2592" s="224" t="str">
        <f>INDEX(Orçamentária!A:B,MATCH(Composições!A2592,Orçamentária!A:A,0),2)</f>
        <v>Gesso Para Uso Geral</v>
      </c>
      <c r="C2592" s="41"/>
      <c r="D2592" s="26" t="str">
        <f>TRIM(INDEX(Orçamentária!C:C,MATCH(Composições!A2592,Orçamentária!A:A,0),1))</f>
        <v>40 kg</v>
      </c>
      <c r="E2592" s="27"/>
      <c r="F2592" s="42" t="s">
        <v>572</v>
      </c>
      <c r="G2592" s="28" t="str">
        <f t="shared" si="46"/>
        <v/>
      </c>
      <c r="H2592" s="29"/>
      <c r="I2592" s="30"/>
      <c r="J2592" s="156">
        <v>0</v>
      </c>
    </row>
    <row r="2593" spans="1:10" ht="15.75" hidden="1" thickBot="1" x14ac:dyDescent="0.3">
      <c r="A2593" s="222"/>
      <c r="B2593" s="225"/>
      <c r="C2593" s="32"/>
      <c r="D2593" s="32"/>
      <c r="E2593" s="33"/>
      <c r="F2593" s="43" t="s">
        <v>572</v>
      </c>
      <c r="G2593" s="34" t="str">
        <f t="shared" si="46"/>
        <v/>
      </c>
      <c r="H2593" s="35"/>
      <c r="I2593" s="31"/>
      <c r="J2593" s="156">
        <v>0</v>
      </c>
    </row>
    <row r="2594" spans="1:10" ht="26.25" hidden="1" thickBot="1" x14ac:dyDescent="0.3">
      <c r="A2594" s="222"/>
      <c r="B2594" s="225"/>
      <c r="C2594" s="36" t="s">
        <v>3784</v>
      </c>
      <c r="D2594" s="47" t="s">
        <v>42</v>
      </c>
      <c r="E2594" s="37">
        <v>40</v>
      </c>
      <c r="F2594" s="31">
        <v>0.33249999999999996</v>
      </c>
      <c r="G2594" s="34">
        <f t="shared" si="46"/>
        <v>13.299999999999999</v>
      </c>
      <c r="H2594" s="39">
        <f>SUM(G2594:G2594)</f>
        <v>13.299999999999999</v>
      </c>
      <c r="I2594" s="40"/>
      <c r="J2594" s="156">
        <v>0</v>
      </c>
    </row>
    <row r="2595" spans="1:10" ht="15.75" hidden="1" thickBot="1" x14ac:dyDescent="0.3">
      <c r="A2595" s="223"/>
      <c r="B2595" s="226"/>
      <c r="C2595" s="36"/>
      <c r="D2595" s="36"/>
      <c r="E2595" s="37"/>
      <c r="F2595" s="31" t="s">
        <v>572</v>
      </c>
      <c r="G2595" s="34" t="str">
        <f t="shared" si="46"/>
        <v/>
      </c>
      <c r="H2595" s="35"/>
      <c r="I2595" s="31"/>
      <c r="J2595" s="156">
        <v>0</v>
      </c>
    </row>
    <row r="2596" spans="1:10" ht="15.75" hidden="1" thickBot="1" x14ac:dyDescent="0.3">
      <c r="A2596" s="221" t="s">
        <v>808</v>
      </c>
      <c r="B2596" s="224" t="str">
        <f>INDEX(Orçamentária!A:B,MATCH(Composições!A2596,Orçamentária!A:A,0),2)</f>
        <v>Areia Média</v>
      </c>
      <c r="C2596" s="41"/>
      <c r="D2596" s="26" t="str">
        <f>TRIM(INDEX(Orçamentária!C:C,MATCH(Composições!A2596,Orçamentária!A:A,0),1))</f>
        <v>m3</v>
      </c>
      <c r="E2596" s="27"/>
      <c r="F2596" s="42" t="s">
        <v>572</v>
      </c>
      <c r="G2596" s="28" t="str">
        <f t="shared" si="46"/>
        <v/>
      </c>
      <c r="H2596" s="29"/>
      <c r="I2596" s="30"/>
      <c r="J2596" s="156">
        <v>0</v>
      </c>
    </row>
    <row r="2597" spans="1:10" ht="15.75" hidden="1" thickBot="1" x14ac:dyDescent="0.3">
      <c r="A2597" s="222"/>
      <c r="B2597" s="225"/>
      <c r="C2597" s="32"/>
      <c r="D2597" s="32"/>
      <c r="E2597" s="33"/>
      <c r="F2597" s="43" t="s">
        <v>572</v>
      </c>
      <c r="G2597" s="34" t="str">
        <f t="shared" si="46"/>
        <v/>
      </c>
      <c r="H2597" s="35"/>
      <c r="I2597" s="31"/>
      <c r="J2597" s="156">
        <v>0</v>
      </c>
    </row>
    <row r="2598" spans="1:10" ht="26.25" hidden="1" thickBot="1" x14ac:dyDescent="0.3">
      <c r="A2598" s="222"/>
      <c r="B2598" s="225"/>
      <c r="C2598" s="36" t="s">
        <v>809</v>
      </c>
      <c r="D2598" s="47" t="s">
        <v>112</v>
      </c>
      <c r="E2598" s="37">
        <v>1</v>
      </c>
      <c r="F2598" s="31">
        <v>90.25</v>
      </c>
      <c r="G2598" s="34">
        <f t="shared" si="46"/>
        <v>90.25</v>
      </c>
      <c r="H2598" s="39">
        <f>SUM(G2598:G2600)</f>
        <v>120.48873655</v>
      </c>
      <c r="I2598" s="40"/>
      <c r="J2598" s="156">
        <v>0</v>
      </c>
    </row>
    <row r="2599" spans="1:10" ht="51.75" hidden="1" thickBot="1" x14ac:dyDescent="0.3">
      <c r="A2599" s="222"/>
      <c r="B2599" s="225"/>
      <c r="C2599" s="36" t="s">
        <v>3619</v>
      </c>
      <c r="D2599" s="36" t="s">
        <v>112</v>
      </c>
      <c r="E2599" s="37">
        <f>E2598</f>
        <v>1</v>
      </c>
      <c r="F2599" s="34">
        <v>5.5686425499999999</v>
      </c>
      <c r="G2599" s="34">
        <f t="shared" si="46"/>
        <v>5.5686425499999999</v>
      </c>
      <c r="H2599" s="35"/>
      <c r="I2599" s="31"/>
      <c r="J2599" s="156">
        <v>0</v>
      </c>
    </row>
    <row r="2600" spans="1:10" ht="39" hidden="1" thickBot="1" x14ac:dyDescent="0.3">
      <c r="A2600" s="222"/>
      <c r="B2600" s="225"/>
      <c r="C2600" s="36" t="s">
        <v>810</v>
      </c>
      <c r="D2600" s="47" t="s">
        <v>811</v>
      </c>
      <c r="E2600" s="37">
        <f>E2598*20</f>
        <v>20</v>
      </c>
      <c r="F2600" s="31">
        <v>1.2335046999999999</v>
      </c>
      <c r="G2600" s="34">
        <f t="shared" si="46"/>
        <v>24.670093999999999</v>
      </c>
      <c r="H2600" s="35"/>
      <c r="I2600" s="31"/>
      <c r="J2600" s="156">
        <v>0</v>
      </c>
    </row>
    <row r="2601" spans="1:10" ht="15.75" hidden="1" thickBot="1" x14ac:dyDescent="0.3">
      <c r="A2601" s="222"/>
      <c r="B2601" s="225"/>
      <c r="C2601" s="36"/>
      <c r="D2601" s="47"/>
      <c r="E2601" s="37"/>
      <c r="F2601" s="31" t="s">
        <v>572</v>
      </c>
      <c r="G2601" s="34" t="str">
        <f t="shared" si="46"/>
        <v/>
      </c>
      <c r="H2601" s="35"/>
      <c r="I2601" s="31"/>
      <c r="J2601" s="156">
        <v>0</v>
      </c>
    </row>
    <row r="2602" spans="1:10" ht="15.75" hidden="1" thickBot="1" x14ac:dyDescent="0.3">
      <c r="A2602" s="222"/>
      <c r="B2602" s="225"/>
      <c r="C2602" s="48" t="s">
        <v>812</v>
      </c>
      <c r="D2602" s="47"/>
      <c r="E2602" s="37"/>
      <c r="F2602" s="31" t="s">
        <v>572</v>
      </c>
      <c r="G2602" s="34" t="str">
        <f t="shared" si="46"/>
        <v/>
      </c>
      <c r="H2602" s="35"/>
      <c r="I2602" s="31"/>
      <c r="J2602" s="156">
        <v>0</v>
      </c>
    </row>
    <row r="2603" spans="1:10" ht="15.75" hidden="1" thickBot="1" x14ac:dyDescent="0.3">
      <c r="A2603" s="223"/>
      <c r="B2603" s="226"/>
      <c r="C2603" s="36"/>
      <c r="D2603" s="36"/>
      <c r="E2603" s="37"/>
      <c r="F2603" s="31" t="s">
        <v>572</v>
      </c>
      <c r="G2603" s="34" t="str">
        <f t="shared" si="46"/>
        <v/>
      </c>
      <c r="H2603" s="35"/>
      <c r="I2603" s="31"/>
      <c r="J2603" s="156">
        <v>0</v>
      </c>
    </row>
    <row r="2604" spans="1:10" ht="15.75" hidden="1" thickBot="1" x14ac:dyDescent="0.3">
      <c r="A2604" s="221" t="s">
        <v>813</v>
      </c>
      <c r="B2604" s="224" t="str">
        <f>INDEX(Orçamentária!A:B,MATCH(Composições!A2604,Orçamentária!A:A,0),2)</f>
        <v>Brita Nº 0</v>
      </c>
      <c r="C2604" s="41"/>
      <c r="D2604" s="26" t="str">
        <f>TRIM(INDEX(Orçamentária!C:C,MATCH(Composições!A2604,Orçamentária!A:A,0),1))</f>
        <v>m3</v>
      </c>
      <c r="E2604" s="27"/>
      <c r="F2604" s="42" t="s">
        <v>572</v>
      </c>
      <c r="G2604" s="28" t="str">
        <f t="shared" si="46"/>
        <v/>
      </c>
      <c r="H2604" s="29"/>
      <c r="I2604" s="30"/>
      <c r="J2604" s="156">
        <v>0</v>
      </c>
    </row>
    <row r="2605" spans="1:10" ht="15.75" hidden="1" thickBot="1" x14ac:dyDescent="0.3">
      <c r="A2605" s="222"/>
      <c r="B2605" s="225"/>
      <c r="C2605" s="32"/>
      <c r="D2605" s="32"/>
      <c r="E2605" s="33"/>
      <c r="F2605" s="43" t="s">
        <v>572</v>
      </c>
      <c r="G2605" s="34" t="str">
        <f t="shared" si="46"/>
        <v/>
      </c>
      <c r="H2605" s="35"/>
      <c r="I2605" s="31"/>
      <c r="J2605" s="156">
        <v>0</v>
      </c>
    </row>
    <row r="2606" spans="1:10" ht="26.25" hidden="1" thickBot="1" x14ac:dyDescent="0.3">
      <c r="A2606" s="222"/>
      <c r="B2606" s="225"/>
      <c r="C2606" s="36" t="s">
        <v>814</v>
      </c>
      <c r="D2606" s="47" t="s">
        <v>112</v>
      </c>
      <c r="E2606" s="37">
        <v>1</v>
      </c>
      <c r="F2606" s="31">
        <v>135.81200000000001</v>
      </c>
      <c r="G2606" s="34">
        <f t="shared" si="46"/>
        <v>135.81200000000001</v>
      </c>
      <c r="H2606" s="39">
        <f>SUM(G2606:G2608)</f>
        <v>166.05073655000001</v>
      </c>
      <c r="I2606" s="40"/>
      <c r="J2606" s="156">
        <v>0</v>
      </c>
    </row>
    <row r="2607" spans="1:10" ht="51.75" hidden="1" thickBot="1" x14ac:dyDescent="0.3">
      <c r="A2607" s="222"/>
      <c r="B2607" s="225"/>
      <c r="C2607" s="36" t="s">
        <v>3619</v>
      </c>
      <c r="D2607" s="36" t="s">
        <v>112</v>
      </c>
      <c r="E2607" s="37">
        <f>E2606</f>
        <v>1</v>
      </c>
      <c r="F2607" s="34">
        <v>5.5686425499999999</v>
      </c>
      <c r="G2607" s="34">
        <f t="shared" si="46"/>
        <v>5.5686425499999999</v>
      </c>
      <c r="H2607" s="35"/>
      <c r="I2607" s="31"/>
      <c r="J2607" s="156">
        <v>0</v>
      </c>
    </row>
    <row r="2608" spans="1:10" ht="39" hidden="1" thickBot="1" x14ac:dyDescent="0.3">
      <c r="A2608" s="222"/>
      <c r="B2608" s="225"/>
      <c r="C2608" s="36" t="s">
        <v>810</v>
      </c>
      <c r="D2608" s="47" t="s">
        <v>811</v>
      </c>
      <c r="E2608" s="37">
        <f>E2606*20</f>
        <v>20</v>
      </c>
      <c r="F2608" s="31">
        <v>1.2335046999999999</v>
      </c>
      <c r="G2608" s="34">
        <f t="shared" si="46"/>
        <v>24.670093999999999</v>
      </c>
      <c r="H2608" s="35"/>
      <c r="I2608" s="31"/>
      <c r="J2608" s="156">
        <v>0</v>
      </c>
    </row>
    <row r="2609" spans="1:10" ht="15.75" hidden="1" thickBot="1" x14ac:dyDescent="0.3">
      <c r="A2609" s="222"/>
      <c r="B2609" s="225"/>
      <c r="C2609" s="36"/>
      <c r="D2609" s="47"/>
      <c r="E2609" s="37"/>
      <c r="F2609" s="31" t="s">
        <v>572</v>
      </c>
      <c r="G2609" s="34" t="str">
        <f t="shared" si="46"/>
        <v/>
      </c>
      <c r="H2609" s="35"/>
      <c r="I2609" s="31"/>
      <c r="J2609" s="156">
        <v>0</v>
      </c>
    </row>
    <row r="2610" spans="1:10" ht="15.75" hidden="1" thickBot="1" x14ac:dyDescent="0.3">
      <c r="A2610" s="222"/>
      <c r="B2610" s="225"/>
      <c r="C2610" s="48" t="s">
        <v>815</v>
      </c>
      <c r="D2610" s="47"/>
      <c r="E2610" s="37"/>
      <c r="F2610" s="31" t="s">
        <v>572</v>
      </c>
      <c r="G2610" s="34" t="str">
        <f t="shared" si="46"/>
        <v/>
      </c>
      <c r="H2610" s="35"/>
      <c r="I2610" s="31"/>
      <c r="J2610" s="156">
        <v>0</v>
      </c>
    </row>
    <row r="2611" spans="1:10" ht="15.75" hidden="1" thickBot="1" x14ac:dyDescent="0.3">
      <c r="A2611" s="223"/>
      <c r="B2611" s="226"/>
      <c r="C2611" s="36"/>
      <c r="D2611" s="36"/>
      <c r="E2611" s="37"/>
      <c r="F2611" s="31" t="s">
        <v>572</v>
      </c>
      <c r="G2611" s="34" t="str">
        <f t="shared" si="46"/>
        <v/>
      </c>
      <c r="H2611" s="35"/>
      <c r="I2611" s="31"/>
      <c r="J2611" s="156">
        <v>0</v>
      </c>
    </row>
    <row r="2612" spans="1:10" ht="15.75" hidden="1" thickBot="1" x14ac:dyDescent="0.3">
      <c r="A2612" s="221" t="s">
        <v>816</v>
      </c>
      <c r="B2612" s="224" t="str">
        <f>INDEX(Orçamentária!A:B,MATCH(Composições!A2612,Orçamentária!A:A,0),2)</f>
        <v>Brita Nº 1</v>
      </c>
      <c r="C2612" s="41"/>
      <c r="D2612" s="26" t="str">
        <f>TRIM(INDEX(Orçamentária!C:C,MATCH(Composições!A2612,Orçamentária!A:A,0),1))</f>
        <v>m3</v>
      </c>
      <c r="E2612" s="27"/>
      <c r="F2612" s="42" t="s">
        <v>572</v>
      </c>
      <c r="G2612" s="28" t="str">
        <f t="shared" si="46"/>
        <v/>
      </c>
      <c r="H2612" s="29"/>
      <c r="I2612" s="30"/>
      <c r="J2612" s="156">
        <v>0</v>
      </c>
    </row>
    <row r="2613" spans="1:10" ht="15.75" hidden="1" thickBot="1" x14ac:dyDescent="0.3">
      <c r="A2613" s="222"/>
      <c r="B2613" s="225"/>
      <c r="C2613" s="32"/>
      <c r="D2613" s="32"/>
      <c r="E2613" s="33"/>
      <c r="F2613" s="43" t="s">
        <v>572</v>
      </c>
      <c r="G2613" s="34" t="str">
        <f t="shared" si="46"/>
        <v/>
      </c>
      <c r="H2613" s="35"/>
      <c r="I2613" s="31"/>
      <c r="J2613" s="156">
        <v>0</v>
      </c>
    </row>
    <row r="2614" spans="1:10" ht="26.25" hidden="1" thickBot="1" x14ac:dyDescent="0.3">
      <c r="A2614" s="222"/>
      <c r="B2614" s="225"/>
      <c r="C2614" s="36" t="s">
        <v>817</v>
      </c>
      <c r="D2614" s="47" t="s">
        <v>112</v>
      </c>
      <c r="E2614" s="37">
        <v>1</v>
      </c>
      <c r="F2614" s="31">
        <v>117.63849999999999</v>
      </c>
      <c r="G2614" s="34">
        <f t="shared" si="46"/>
        <v>117.63849999999999</v>
      </c>
      <c r="H2614" s="39">
        <f>SUM(G2614:G2616)</f>
        <v>147.87723654999999</v>
      </c>
      <c r="I2614" s="40"/>
      <c r="J2614" s="156">
        <v>0</v>
      </c>
    </row>
    <row r="2615" spans="1:10" ht="51.75" hidden="1" thickBot="1" x14ac:dyDescent="0.3">
      <c r="A2615" s="222"/>
      <c r="B2615" s="225"/>
      <c r="C2615" s="36" t="s">
        <v>3619</v>
      </c>
      <c r="D2615" s="36" t="s">
        <v>112</v>
      </c>
      <c r="E2615" s="37">
        <f>E2614</f>
        <v>1</v>
      </c>
      <c r="F2615" s="34">
        <v>5.5686425499999999</v>
      </c>
      <c r="G2615" s="34">
        <f t="shared" si="46"/>
        <v>5.5686425499999999</v>
      </c>
      <c r="H2615" s="35"/>
      <c r="I2615" s="31"/>
      <c r="J2615" s="156">
        <v>0</v>
      </c>
    </row>
    <row r="2616" spans="1:10" ht="39" hidden="1" thickBot="1" x14ac:dyDescent="0.3">
      <c r="A2616" s="222"/>
      <c r="B2616" s="225"/>
      <c r="C2616" s="36" t="s">
        <v>810</v>
      </c>
      <c r="D2616" s="47" t="s">
        <v>811</v>
      </c>
      <c r="E2616" s="37">
        <f>E2614*20</f>
        <v>20</v>
      </c>
      <c r="F2616" s="31">
        <v>1.2335046999999999</v>
      </c>
      <c r="G2616" s="34">
        <f t="shared" si="46"/>
        <v>24.670093999999999</v>
      </c>
      <c r="H2616" s="35"/>
      <c r="I2616" s="31"/>
      <c r="J2616" s="156">
        <v>0</v>
      </c>
    </row>
    <row r="2617" spans="1:10" ht="15.75" hidden="1" thickBot="1" x14ac:dyDescent="0.3">
      <c r="A2617" s="222"/>
      <c r="B2617" s="225"/>
      <c r="C2617" s="36"/>
      <c r="D2617" s="47"/>
      <c r="E2617" s="37"/>
      <c r="F2617" s="31" t="s">
        <v>572</v>
      </c>
      <c r="G2617" s="34" t="str">
        <f t="shared" si="46"/>
        <v/>
      </c>
      <c r="H2617" s="35"/>
      <c r="I2617" s="31"/>
      <c r="J2617" s="156">
        <v>0</v>
      </c>
    </row>
    <row r="2618" spans="1:10" ht="15.75" hidden="1" thickBot="1" x14ac:dyDescent="0.3">
      <c r="A2618" s="222"/>
      <c r="B2618" s="225"/>
      <c r="C2618" s="48" t="s">
        <v>815</v>
      </c>
      <c r="D2618" s="47"/>
      <c r="E2618" s="37"/>
      <c r="F2618" s="31" t="s">
        <v>572</v>
      </c>
      <c r="G2618" s="34" t="str">
        <f t="shared" si="46"/>
        <v/>
      </c>
      <c r="H2618" s="35"/>
      <c r="I2618" s="31"/>
      <c r="J2618" s="156">
        <v>0</v>
      </c>
    </row>
    <row r="2619" spans="1:10" ht="15.75" hidden="1" thickBot="1" x14ac:dyDescent="0.3">
      <c r="A2619" s="223"/>
      <c r="B2619" s="226"/>
      <c r="C2619" s="36"/>
      <c r="D2619" s="36"/>
      <c r="E2619" s="37"/>
      <c r="F2619" s="31" t="s">
        <v>572</v>
      </c>
      <c r="G2619" s="34" t="str">
        <f t="shared" si="46"/>
        <v/>
      </c>
      <c r="H2619" s="35"/>
      <c r="I2619" s="31"/>
      <c r="J2619" s="156">
        <v>0</v>
      </c>
    </row>
    <row r="2620" spans="1:10" ht="15.75" hidden="1" thickBot="1" x14ac:dyDescent="0.3">
      <c r="A2620" s="221" t="s">
        <v>818</v>
      </c>
      <c r="B2620" s="224" t="str">
        <f>INDEX(Orçamentária!A:B,MATCH(Composições!A2620,Orçamentária!A:A,0),2)</f>
        <v>Bloco Cerâmico De 08 Furos</v>
      </c>
      <c r="C2620" s="41"/>
      <c r="D2620" s="26" t="str">
        <f>TRIM(INDEX(Orçamentária!C:C,MATCH(Composições!A2620,Orçamentária!A:A,0),1))</f>
        <v>un</v>
      </c>
      <c r="E2620" s="27"/>
      <c r="F2620" s="42" t="s">
        <v>572</v>
      </c>
      <c r="G2620" s="28" t="str">
        <f t="shared" si="46"/>
        <v/>
      </c>
      <c r="H2620" s="29"/>
      <c r="I2620" s="30"/>
      <c r="J2620" s="156">
        <v>0</v>
      </c>
    </row>
    <row r="2621" spans="1:10" ht="15.75" hidden="1" thickBot="1" x14ac:dyDescent="0.3">
      <c r="A2621" s="222"/>
      <c r="B2621" s="225"/>
      <c r="C2621" s="32"/>
      <c r="D2621" s="32"/>
      <c r="E2621" s="33"/>
      <c r="F2621" s="43" t="s">
        <v>572</v>
      </c>
      <c r="G2621" s="34" t="str">
        <f t="shared" si="46"/>
        <v/>
      </c>
      <c r="H2621" s="35"/>
      <c r="I2621" s="31"/>
      <c r="J2621" s="156">
        <v>0</v>
      </c>
    </row>
    <row r="2622" spans="1:10" ht="26.25" hidden="1" thickBot="1" x14ac:dyDescent="0.3">
      <c r="A2622" s="222"/>
      <c r="B2622" s="225"/>
      <c r="C2622" s="36" t="s">
        <v>3607</v>
      </c>
      <c r="D2622" s="36" t="s">
        <v>156</v>
      </c>
      <c r="E2622" s="37">
        <f>1/1000</f>
        <v>1E-3</v>
      </c>
      <c r="F2622" s="31">
        <v>750.5</v>
      </c>
      <c r="G2622" s="34">
        <f t="shared" si="46"/>
        <v>0.75050000000000006</v>
      </c>
      <c r="H2622" s="39">
        <f>SUM(G2622:G2622)</f>
        <v>0.75050000000000006</v>
      </c>
      <c r="I2622" s="40"/>
      <c r="J2622" s="156">
        <v>0</v>
      </c>
    </row>
    <row r="2623" spans="1:10" ht="15.75" hidden="1" thickBot="1" x14ac:dyDescent="0.3">
      <c r="A2623" s="223"/>
      <c r="B2623" s="226"/>
      <c r="C2623" s="36"/>
      <c r="D2623" s="36"/>
      <c r="E2623" s="37"/>
      <c r="F2623" s="31" t="s">
        <v>572</v>
      </c>
      <c r="G2623" s="34" t="str">
        <f t="shared" si="46"/>
        <v/>
      </c>
      <c r="H2623" s="35"/>
      <c r="I2623" s="31"/>
      <c r="J2623" s="156">
        <v>0</v>
      </c>
    </row>
    <row r="2624" spans="1:10" ht="15.75" hidden="1" thickBot="1" x14ac:dyDescent="0.3">
      <c r="A2624" s="221" t="s">
        <v>819</v>
      </c>
      <c r="B2624" s="224" t="str">
        <f>INDEX(Orçamentária!A:B,MATCH(Composições!A2624,Orçamentária!A:A,0),2)</f>
        <v>Tijolo Maciço</v>
      </c>
      <c r="C2624" s="41"/>
      <c r="D2624" s="26" t="str">
        <f>TRIM(INDEX(Orçamentária!C:C,MATCH(Composições!A2624,Orçamentária!A:A,0),1))</f>
        <v>un</v>
      </c>
      <c r="E2624" s="27"/>
      <c r="F2624" s="42" t="s">
        <v>572</v>
      </c>
      <c r="G2624" s="28" t="str">
        <f t="shared" si="46"/>
        <v/>
      </c>
      <c r="H2624" s="29"/>
      <c r="I2624" s="30"/>
      <c r="J2624" s="156">
        <v>0</v>
      </c>
    </row>
    <row r="2625" spans="1:10" ht="15.75" hidden="1" thickBot="1" x14ac:dyDescent="0.3">
      <c r="A2625" s="222"/>
      <c r="B2625" s="225"/>
      <c r="C2625" s="32"/>
      <c r="D2625" s="32"/>
      <c r="E2625" s="33"/>
      <c r="F2625" s="43" t="s">
        <v>572</v>
      </c>
      <c r="G2625" s="34" t="str">
        <f t="shared" si="46"/>
        <v/>
      </c>
      <c r="H2625" s="35"/>
      <c r="I2625" s="31"/>
      <c r="J2625" s="156">
        <v>0</v>
      </c>
    </row>
    <row r="2626" spans="1:10" ht="15.75" hidden="1" thickBot="1" x14ac:dyDescent="0.3">
      <c r="A2626" s="222"/>
      <c r="B2626" s="225"/>
      <c r="C2626" s="36" t="s">
        <v>3611</v>
      </c>
      <c r="D2626" s="36" t="s">
        <v>299</v>
      </c>
      <c r="E2626" s="37">
        <v>1</v>
      </c>
      <c r="F2626" s="31">
        <v>0.64600000000000002</v>
      </c>
      <c r="G2626" s="34">
        <f t="shared" si="46"/>
        <v>0.64600000000000002</v>
      </c>
      <c r="H2626" s="39">
        <f>SUM(G2626:G2626)</f>
        <v>0.64600000000000002</v>
      </c>
      <c r="I2626" s="40"/>
      <c r="J2626" s="156">
        <v>0</v>
      </c>
    </row>
    <row r="2627" spans="1:10" ht="15.75" hidden="1" thickBot="1" x14ac:dyDescent="0.3">
      <c r="A2627" s="223"/>
      <c r="B2627" s="226"/>
      <c r="C2627" s="36"/>
      <c r="D2627" s="36"/>
      <c r="E2627" s="37"/>
      <c r="F2627" s="31" t="s">
        <v>572</v>
      </c>
      <c r="G2627" s="34" t="str">
        <f t="shared" si="46"/>
        <v/>
      </c>
      <c r="H2627" s="35"/>
      <c r="I2627" s="31"/>
      <c r="J2627" s="156">
        <v>0</v>
      </c>
    </row>
    <row r="2628" spans="1:10" ht="15.75" hidden="1" thickBot="1" x14ac:dyDescent="0.3">
      <c r="A2628" s="221" t="s">
        <v>820</v>
      </c>
      <c r="B2628" s="224" t="str">
        <f>INDEX(Orçamentária!A:B,MATCH(Composições!A2628,Orçamentária!A:A,0),2)</f>
        <v>Bloco De Concreto Com 02 Furos</v>
      </c>
      <c r="C2628" s="41"/>
      <c r="D2628" s="26" t="str">
        <f>TRIM(INDEX(Orçamentária!C:C,MATCH(Composições!A2628,Orçamentária!A:A,0),1))</f>
        <v>un</v>
      </c>
      <c r="E2628" s="27"/>
      <c r="F2628" s="42" t="s">
        <v>572</v>
      </c>
      <c r="G2628" s="28" t="str">
        <f t="shared" si="46"/>
        <v/>
      </c>
      <c r="H2628" s="29"/>
      <c r="I2628" s="30"/>
      <c r="J2628" s="156">
        <v>0</v>
      </c>
    </row>
    <row r="2629" spans="1:10" ht="15.75" hidden="1" thickBot="1" x14ac:dyDescent="0.3">
      <c r="A2629" s="222"/>
      <c r="B2629" s="225"/>
      <c r="C2629" s="32"/>
      <c r="D2629" s="32"/>
      <c r="E2629" s="33"/>
      <c r="F2629" s="43" t="s">
        <v>572</v>
      </c>
      <c r="G2629" s="34" t="str">
        <f t="shared" si="46"/>
        <v/>
      </c>
      <c r="H2629" s="35"/>
      <c r="I2629" s="31"/>
      <c r="J2629" s="156">
        <v>0</v>
      </c>
    </row>
    <row r="2630" spans="1:10" ht="26.25" hidden="1" thickBot="1" x14ac:dyDescent="0.3">
      <c r="A2630" s="222"/>
      <c r="B2630" s="225"/>
      <c r="C2630" s="36" t="s">
        <v>3608</v>
      </c>
      <c r="D2630" s="36" t="s">
        <v>299</v>
      </c>
      <c r="E2630" s="37">
        <v>1</v>
      </c>
      <c r="F2630" s="31">
        <v>2.0710000000000002</v>
      </c>
      <c r="G2630" s="34">
        <f t="shared" si="46"/>
        <v>2.0710000000000002</v>
      </c>
      <c r="H2630" s="39">
        <f>SUM(G2630:G2630)</f>
        <v>2.0710000000000002</v>
      </c>
      <c r="I2630" s="40"/>
      <c r="J2630" s="156">
        <v>0</v>
      </c>
    </row>
    <row r="2631" spans="1:10" ht="15.75" hidden="1" thickBot="1" x14ac:dyDescent="0.3">
      <c r="A2631" s="223"/>
      <c r="B2631" s="226"/>
      <c r="C2631" s="36"/>
      <c r="D2631" s="36"/>
      <c r="E2631" s="37"/>
      <c r="F2631" s="31" t="s">
        <v>572</v>
      </c>
      <c r="G2631" s="34" t="str">
        <f t="shared" si="46"/>
        <v/>
      </c>
      <c r="H2631" s="35"/>
      <c r="I2631" s="31"/>
      <c r="J2631" s="156">
        <v>0</v>
      </c>
    </row>
    <row r="2632" spans="1:10" ht="15.75" hidden="1" thickBot="1" x14ac:dyDescent="0.3">
      <c r="A2632" s="221" t="s">
        <v>821</v>
      </c>
      <c r="B2632" s="224" t="str">
        <f>INDEX(Orçamentária!A:B,MATCH(Composições!A2632,Orçamentária!A:A,0),2)</f>
        <v>Bloco De Concreto Tipo Canaleta</v>
      </c>
      <c r="C2632" s="41"/>
      <c r="D2632" s="26" t="str">
        <f>TRIM(INDEX(Orçamentária!C:C,MATCH(Composições!A2632,Orçamentária!A:A,0),1))</f>
        <v>un</v>
      </c>
      <c r="E2632" s="27"/>
      <c r="F2632" s="42" t="s">
        <v>572</v>
      </c>
      <c r="G2632" s="28" t="str">
        <f t="shared" si="46"/>
        <v/>
      </c>
      <c r="H2632" s="29"/>
      <c r="I2632" s="30"/>
      <c r="J2632" s="156">
        <v>0</v>
      </c>
    </row>
    <row r="2633" spans="1:10" ht="15.75" hidden="1" thickBot="1" x14ac:dyDescent="0.3">
      <c r="A2633" s="222"/>
      <c r="B2633" s="225"/>
      <c r="C2633" s="32"/>
      <c r="D2633" s="32"/>
      <c r="E2633" s="33"/>
      <c r="F2633" s="43" t="s">
        <v>572</v>
      </c>
      <c r="G2633" s="34" t="str">
        <f t="shared" si="46"/>
        <v/>
      </c>
      <c r="H2633" s="35"/>
      <c r="I2633" s="31"/>
      <c r="J2633" s="156">
        <v>0</v>
      </c>
    </row>
    <row r="2634" spans="1:10" ht="15.75" hidden="1" thickBot="1" x14ac:dyDescent="0.3">
      <c r="A2634" s="222"/>
      <c r="B2634" s="225"/>
      <c r="C2634" s="36" t="s">
        <v>149</v>
      </c>
      <c r="D2634" s="36" t="s">
        <v>150</v>
      </c>
      <c r="E2634" s="37">
        <v>1</v>
      </c>
      <c r="F2634" s="31">
        <v>0</v>
      </c>
      <c r="G2634" s="34">
        <f t="shared" si="46"/>
        <v>0</v>
      </c>
      <c r="H2634" s="39">
        <f>SUM(G2634:G2634)</f>
        <v>0</v>
      </c>
      <c r="I2634" s="40"/>
      <c r="J2634" s="156">
        <v>0</v>
      </c>
    </row>
    <row r="2635" spans="1:10" ht="15.75" hidden="1" thickBot="1" x14ac:dyDescent="0.3">
      <c r="A2635" s="223"/>
      <c r="B2635" s="226"/>
      <c r="C2635" s="36"/>
      <c r="D2635" s="36"/>
      <c r="E2635" s="37"/>
      <c r="F2635" s="31" t="s">
        <v>572</v>
      </c>
      <c r="G2635" s="34" t="str">
        <f t="shared" si="46"/>
        <v/>
      </c>
      <c r="H2635" s="35"/>
      <c r="I2635" s="31"/>
      <c r="J2635" s="156">
        <v>0</v>
      </c>
    </row>
    <row r="2636" spans="1:10" ht="15.75" hidden="1" thickBot="1" x14ac:dyDescent="0.3">
      <c r="A2636" s="221" t="s">
        <v>822</v>
      </c>
      <c r="B2636" s="224" t="str">
        <f>INDEX(Orçamentária!A:B,MATCH(Composições!A2636,Orçamentária!A:A,0),2)</f>
        <v>Vergalhão Ca-60 Diâmetro 5,0 Mm</v>
      </c>
      <c r="C2636" s="41"/>
      <c r="D2636" s="26" t="str">
        <f>TRIM(INDEX(Orçamentária!C:C,MATCH(Composições!A2636,Orçamentária!A:A,0),1))</f>
        <v>m</v>
      </c>
      <c r="E2636" s="27"/>
      <c r="F2636" s="42" t="s">
        <v>572</v>
      </c>
      <c r="G2636" s="28" t="str">
        <f t="shared" si="46"/>
        <v/>
      </c>
      <c r="H2636" s="29"/>
      <c r="I2636" s="30"/>
      <c r="J2636" s="156">
        <v>0</v>
      </c>
    </row>
    <row r="2637" spans="1:10" ht="15.75" hidden="1" thickBot="1" x14ac:dyDescent="0.3">
      <c r="A2637" s="222"/>
      <c r="B2637" s="225"/>
      <c r="C2637" s="32"/>
      <c r="D2637" s="32"/>
      <c r="E2637" s="33"/>
      <c r="F2637" s="43" t="s">
        <v>572</v>
      </c>
      <c r="G2637" s="34" t="str">
        <f t="shared" si="46"/>
        <v/>
      </c>
      <c r="H2637" s="35"/>
      <c r="I2637" s="31"/>
      <c r="J2637" s="156">
        <v>0</v>
      </c>
    </row>
    <row r="2638" spans="1:10" ht="15.75" hidden="1" thickBot="1" x14ac:dyDescent="0.3">
      <c r="A2638" s="222"/>
      <c r="B2638" s="225"/>
      <c r="C2638" s="36" t="s">
        <v>3611</v>
      </c>
      <c r="D2638" s="36" t="s">
        <v>299</v>
      </c>
      <c r="E2638" s="37">
        <v>1</v>
      </c>
      <c r="F2638" s="31">
        <v>0.64600000000000002</v>
      </c>
      <c r="G2638" s="34">
        <f t="shared" si="46"/>
        <v>0.64600000000000002</v>
      </c>
      <c r="H2638" s="39">
        <f>SUM(G2638:G2638)</f>
        <v>0.64600000000000002</v>
      </c>
      <c r="I2638" s="40"/>
      <c r="J2638" s="156">
        <v>0</v>
      </c>
    </row>
    <row r="2639" spans="1:10" ht="15.75" hidden="1" thickBot="1" x14ac:dyDescent="0.3">
      <c r="A2639" s="223"/>
      <c r="B2639" s="226"/>
      <c r="C2639" s="36"/>
      <c r="D2639" s="36"/>
      <c r="E2639" s="37"/>
      <c r="F2639" s="31" t="s">
        <v>572</v>
      </c>
      <c r="G2639" s="34" t="str">
        <f t="shared" si="46"/>
        <v/>
      </c>
      <c r="H2639" s="35"/>
      <c r="I2639" s="31"/>
      <c r="J2639" s="156">
        <v>0</v>
      </c>
    </row>
    <row r="2640" spans="1:10" ht="15.75" hidden="1" thickBot="1" x14ac:dyDescent="0.3">
      <c r="A2640" s="221" t="s">
        <v>823</v>
      </c>
      <c r="B2640" s="224" t="str">
        <f>INDEX(Orçamentária!A:B,MATCH(Composições!A2640,Orçamentária!A:A,0),2)</f>
        <v>Vergalhão Ca-50 Diâmetro 6,3 Mm</v>
      </c>
      <c r="C2640" s="41"/>
      <c r="D2640" s="26" t="str">
        <f>TRIM(INDEX(Orçamentária!C:C,MATCH(Composições!A2640,Orçamentária!A:A,0),1))</f>
        <v>m</v>
      </c>
      <c r="E2640" s="27"/>
      <c r="F2640" s="42" t="s">
        <v>572</v>
      </c>
      <c r="G2640" s="28" t="str">
        <f t="shared" si="46"/>
        <v/>
      </c>
      <c r="H2640" s="29"/>
      <c r="I2640" s="30"/>
      <c r="J2640" s="156">
        <v>0</v>
      </c>
    </row>
    <row r="2641" spans="1:10" ht="15.75" hidden="1" thickBot="1" x14ac:dyDescent="0.3">
      <c r="A2641" s="222"/>
      <c r="B2641" s="225"/>
      <c r="C2641" s="32"/>
      <c r="D2641" s="32"/>
      <c r="E2641" s="33"/>
      <c r="F2641" s="43" t="s">
        <v>572</v>
      </c>
      <c r="G2641" s="34" t="str">
        <f t="shared" si="46"/>
        <v/>
      </c>
      <c r="H2641" s="35"/>
      <c r="I2641" s="31"/>
      <c r="J2641" s="156">
        <v>0</v>
      </c>
    </row>
    <row r="2642" spans="1:10" ht="15.75" hidden="1" thickBot="1" x14ac:dyDescent="0.3">
      <c r="A2642" s="222"/>
      <c r="B2642" s="225"/>
      <c r="C2642" s="36" t="s">
        <v>824</v>
      </c>
      <c r="D2642" s="36" t="s">
        <v>42</v>
      </c>
      <c r="E2642" s="37">
        <v>0.245</v>
      </c>
      <c r="F2642" s="31">
        <v>9.5474999999999994</v>
      </c>
      <c r="G2642" s="34">
        <f t="shared" ref="G2642:G2705" si="47">IF(ISNUMBER(F2642),E2642*F2642,"")</f>
        <v>2.3391374999999996</v>
      </c>
      <c r="H2642" s="39">
        <f>SUM(G2642:G2642)</f>
        <v>2.3391374999999996</v>
      </c>
      <c r="I2642" s="40"/>
      <c r="J2642" s="156">
        <v>0</v>
      </c>
    </row>
    <row r="2643" spans="1:10" ht="15.75" hidden="1" thickBot="1" x14ac:dyDescent="0.3">
      <c r="A2643" s="223"/>
      <c r="B2643" s="226"/>
      <c r="C2643" s="36"/>
      <c r="D2643" s="36"/>
      <c r="E2643" s="37"/>
      <c r="F2643" s="31" t="s">
        <v>572</v>
      </c>
      <c r="G2643" s="34" t="str">
        <f t="shared" si="47"/>
        <v/>
      </c>
      <c r="H2643" s="35"/>
      <c r="I2643" s="31"/>
      <c r="J2643" s="156">
        <v>0</v>
      </c>
    </row>
    <row r="2644" spans="1:10" ht="15.75" hidden="1" thickBot="1" x14ac:dyDescent="0.3">
      <c r="A2644" s="221" t="s">
        <v>825</v>
      </c>
      <c r="B2644" s="224" t="str">
        <f>INDEX(Orçamentária!A:B,MATCH(Composições!A2644,Orçamentária!A:A,0),2)</f>
        <v>Vergalhão Ca-50 Diâmetro 8,0 Mm</v>
      </c>
      <c r="C2644" s="41"/>
      <c r="D2644" s="26" t="str">
        <f>TRIM(INDEX(Orçamentária!C:C,MATCH(Composições!A2644,Orçamentária!A:A,0),1))</f>
        <v>m</v>
      </c>
      <c r="E2644" s="27"/>
      <c r="F2644" s="42" t="s">
        <v>572</v>
      </c>
      <c r="G2644" s="28" t="str">
        <f t="shared" si="47"/>
        <v/>
      </c>
      <c r="H2644" s="29"/>
      <c r="I2644" s="30"/>
      <c r="J2644" s="156">
        <v>0</v>
      </c>
    </row>
    <row r="2645" spans="1:10" ht="15.75" hidden="1" thickBot="1" x14ac:dyDescent="0.3">
      <c r="A2645" s="222"/>
      <c r="B2645" s="225"/>
      <c r="C2645" s="32"/>
      <c r="D2645" s="32"/>
      <c r="E2645" s="33"/>
      <c r="F2645" s="43" t="s">
        <v>572</v>
      </c>
      <c r="G2645" s="34" t="str">
        <f t="shared" si="47"/>
        <v/>
      </c>
      <c r="H2645" s="35"/>
      <c r="I2645" s="31"/>
      <c r="J2645" s="156">
        <v>0</v>
      </c>
    </row>
    <row r="2646" spans="1:10" ht="15.75" hidden="1" thickBot="1" x14ac:dyDescent="0.3">
      <c r="A2646" s="222"/>
      <c r="B2646" s="225"/>
      <c r="C2646" s="36" t="s">
        <v>826</v>
      </c>
      <c r="D2646" s="36" t="s">
        <v>42</v>
      </c>
      <c r="E2646" s="37">
        <v>0.39500000000000002</v>
      </c>
      <c r="F2646" s="31">
        <v>9.5949999999999989</v>
      </c>
      <c r="G2646" s="34">
        <f t="shared" si="47"/>
        <v>3.7900249999999995</v>
      </c>
      <c r="H2646" s="39">
        <f>SUM(G2646:G2646)</f>
        <v>3.7900249999999995</v>
      </c>
      <c r="I2646" s="40"/>
      <c r="J2646" s="156">
        <v>0</v>
      </c>
    </row>
    <row r="2647" spans="1:10" ht="15.75" hidden="1" thickBot="1" x14ac:dyDescent="0.3">
      <c r="A2647" s="223"/>
      <c r="B2647" s="226"/>
      <c r="C2647" s="36"/>
      <c r="D2647" s="36"/>
      <c r="E2647" s="37"/>
      <c r="F2647" s="31" t="s">
        <v>572</v>
      </c>
      <c r="G2647" s="34" t="str">
        <f t="shared" si="47"/>
        <v/>
      </c>
      <c r="H2647" s="35"/>
      <c r="I2647" s="31"/>
      <c r="J2647" s="156">
        <v>0</v>
      </c>
    </row>
    <row r="2648" spans="1:10" ht="15.75" hidden="1" thickBot="1" x14ac:dyDescent="0.3">
      <c r="A2648" s="221" t="s">
        <v>827</v>
      </c>
      <c r="B2648" s="224" t="str">
        <f>INDEX(Orçamentária!A:B,MATCH(Composições!A2648,Orçamentária!A:A,0),2)</f>
        <v>Vergalhão Ca-50 Diâmetro 10,0 Mm</v>
      </c>
      <c r="C2648" s="41"/>
      <c r="D2648" s="26" t="str">
        <f>TRIM(INDEX(Orçamentária!C:C,MATCH(Composições!A2648,Orçamentária!A:A,0),1))</f>
        <v>m</v>
      </c>
      <c r="E2648" s="27"/>
      <c r="F2648" s="42" t="s">
        <v>572</v>
      </c>
      <c r="G2648" s="28" t="str">
        <f t="shared" si="47"/>
        <v/>
      </c>
      <c r="H2648" s="29"/>
      <c r="I2648" s="30"/>
      <c r="J2648" s="156">
        <v>0</v>
      </c>
    </row>
    <row r="2649" spans="1:10" ht="15.75" hidden="1" thickBot="1" x14ac:dyDescent="0.3">
      <c r="A2649" s="222"/>
      <c r="B2649" s="225"/>
      <c r="C2649" s="32"/>
      <c r="D2649" s="32"/>
      <c r="E2649" s="33"/>
      <c r="F2649" s="43" t="s">
        <v>572</v>
      </c>
      <c r="G2649" s="34" t="str">
        <f t="shared" si="47"/>
        <v/>
      </c>
      <c r="H2649" s="35"/>
      <c r="I2649" s="31"/>
      <c r="J2649" s="156">
        <v>0</v>
      </c>
    </row>
    <row r="2650" spans="1:10" ht="15.75" hidden="1" thickBot="1" x14ac:dyDescent="0.3">
      <c r="A2650" s="222"/>
      <c r="B2650" s="225"/>
      <c r="C2650" s="36" t="s">
        <v>828</v>
      </c>
      <c r="D2650" s="36" t="s">
        <v>42</v>
      </c>
      <c r="E2650" s="37">
        <v>0.61699999999999999</v>
      </c>
      <c r="F2650" s="31">
        <v>9.0439999999999987</v>
      </c>
      <c r="G2650" s="34">
        <f t="shared" si="47"/>
        <v>5.5801479999999994</v>
      </c>
      <c r="H2650" s="39">
        <f>SUM(G2650:G2650)</f>
        <v>5.5801479999999994</v>
      </c>
      <c r="I2650" s="40"/>
      <c r="J2650" s="156">
        <v>0</v>
      </c>
    </row>
    <row r="2651" spans="1:10" ht="15.75" hidden="1" thickBot="1" x14ac:dyDescent="0.3">
      <c r="A2651" s="223"/>
      <c r="B2651" s="226"/>
      <c r="C2651" s="36"/>
      <c r="D2651" s="36"/>
      <c r="E2651" s="37"/>
      <c r="F2651" s="31" t="s">
        <v>572</v>
      </c>
      <c r="G2651" s="34" t="str">
        <f t="shared" si="47"/>
        <v/>
      </c>
      <c r="H2651" s="35"/>
      <c r="I2651" s="31"/>
      <c r="J2651" s="156">
        <v>0</v>
      </c>
    </row>
    <row r="2652" spans="1:10" ht="15.75" hidden="1" thickBot="1" x14ac:dyDescent="0.3">
      <c r="A2652" s="221" t="s">
        <v>829</v>
      </c>
      <c r="B2652" s="224" t="str">
        <f>INDEX(Orçamentária!A:B,MATCH(Composições!A2652,Orçamentária!A:A,0),2)</f>
        <v>Vergalhão Ca-50 Diâmetro 12,5 Mm</v>
      </c>
      <c r="C2652" s="41"/>
      <c r="D2652" s="26" t="str">
        <f>TRIM(INDEX(Orçamentária!C:C,MATCH(Composições!A2652,Orçamentária!A:A,0),1))</f>
        <v>m</v>
      </c>
      <c r="E2652" s="27"/>
      <c r="F2652" s="42" t="s">
        <v>572</v>
      </c>
      <c r="G2652" s="28" t="str">
        <f t="shared" si="47"/>
        <v/>
      </c>
      <c r="H2652" s="29"/>
      <c r="I2652" s="30"/>
      <c r="J2652" s="156">
        <v>0</v>
      </c>
    </row>
    <row r="2653" spans="1:10" ht="15.75" hidden="1" thickBot="1" x14ac:dyDescent="0.3">
      <c r="A2653" s="222"/>
      <c r="B2653" s="225"/>
      <c r="C2653" s="32"/>
      <c r="D2653" s="32"/>
      <c r="E2653" s="33"/>
      <c r="F2653" s="43" t="s">
        <v>572</v>
      </c>
      <c r="G2653" s="34" t="str">
        <f t="shared" si="47"/>
        <v/>
      </c>
      <c r="H2653" s="35"/>
      <c r="I2653" s="31"/>
      <c r="J2653" s="156">
        <v>0</v>
      </c>
    </row>
    <row r="2654" spans="1:10" ht="15.75" hidden="1" thickBot="1" x14ac:dyDescent="0.3">
      <c r="A2654" s="222"/>
      <c r="B2654" s="225"/>
      <c r="C2654" s="36" t="s">
        <v>830</v>
      </c>
      <c r="D2654" s="36" t="s">
        <v>42</v>
      </c>
      <c r="E2654" s="37">
        <v>0.96299999999999997</v>
      </c>
      <c r="F2654" s="31">
        <v>7.8374999999999995</v>
      </c>
      <c r="G2654" s="34">
        <f t="shared" si="47"/>
        <v>7.547512499999999</v>
      </c>
      <c r="H2654" s="39">
        <f>SUM(G2654:G2654)</f>
        <v>7.547512499999999</v>
      </c>
      <c r="I2654" s="40"/>
      <c r="J2654" s="156">
        <v>0</v>
      </c>
    </row>
    <row r="2655" spans="1:10" ht="15.75" hidden="1" thickBot="1" x14ac:dyDescent="0.3">
      <c r="A2655" s="223"/>
      <c r="B2655" s="226"/>
      <c r="C2655" s="36"/>
      <c r="D2655" s="36"/>
      <c r="E2655" s="37"/>
      <c r="F2655" s="31" t="s">
        <v>572</v>
      </c>
      <c r="G2655" s="34" t="str">
        <f t="shared" si="47"/>
        <v/>
      </c>
      <c r="H2655" s="35"/>
      <c r="I2655" s="31"/>
      <c r="J2655" s="156">
        <v>0</v>
      </c>
    </row>
    <row r="2656" spans="1:10" ht="15.75" hidden="1" thickBot="1" x14ac:dyDescent="0.3">
      <c r="A2656" s="221" t="s">
        <v>831</v>
      </c>
      <c r="B2656" s="224" t="str">
        <f>INDEX(Orçamentária!A:B,MATCH(Composições!A2656,Orçamentária!A:A,0),2)</f>
        <v>Arame Recozido Nº 18</v>
      </c>
      <c r="C2656" s="41"/>
      <c r="D2656" s="26" t="str">
        <f>TRIM(INDEX(Orçamentária!C:C,MATCH(Composições!A2656,Orçamentária!A:A,0),1))</f>
        <v>kg</v>
      </c>
      <c r="E2656" s="27"/>
      <c r="F2656" s="42" t="s">
        <v>572</v>
      </c>
      <c r="G2656" s="28" t="str">
        <f t="shared" si="47"/>
        <v/>
      </c>
      <c r="H2656" s="29"/>
      <c r="I2656" s="30"/>
      <c r="J2656" s="156">
        <v>0</v>
      </c>
    </row>
    <row r="2657" spans="1:10" ht="15.75" hidden="1" thickBot="1" x14ac:dyDescent="0.3">
      <c r="A2657" s="222"/>
      <c r="B2657" s="225"/>
      <c r="C2657" s="32"/>
      <c r="D2657" s="32"/>
      <c r="E2657" s="33"/>
      <c r="F2657" s="43" t="s">
        <v>572</v>
      </c>
      <c r="G2657" s="34" t="str">
        <f t="shared" si="47"/>
        <v/>
      </c>
      <c r="H2657" s="35"/>
      <c r="I2657" s="31"/>
      <c r="J2657" s="156">
        <v>0</v>
      </c>
    </row>
    <row r="2658" spans="1:10" ht="26.25" hidden="1" thickBot="1" x14ac:dyDescent="0.3">
      <c r="A2658" s="222"/>
      <c r="B2658" s="225"/>
      <c r="C2658" s="36" t="s">
        <v>3606</v>
      </c>
      <c r="D2658" s="36" t="s">
        <v>42</v>
      </c>
      <c r="E2658" s="37">
        <v>1</v>
      </c>
      <c r="F2658" s="31">
        <v>18.838499999999996</v>
      </c>
      <c r="G2658" s="34">
        <f t="shared" si="47"/>
        <v>18.838499999999996</v>
      </c>
      <c r="H2658" s="39">
        <f>SUM(G2658:G2658)</f>
        <v>18.838499999999996</v>
      </c>
      <c r="I2658" s="40"/>
      <c r="J2658" s="156">
        <v>0</v>
      </c>
    </row>
    <row r="2659" spans="1:10" ht="15.75" hidden="1" thickBot="1" x14ac:dyDescent="0.3">
      <c r="A2659" s="223"/>
      <c r="B2659" s="226"/>
      <c r="C2659" s="36"/>
      <c r="D2659" s="36"/>
      <c r="E2659" s="37"/>
      <c r="F2659" s="31" t="s">
        <v>572</v>
      </c>
      <c r="G2659" s="34" t="str">
        <f t="shared" si="47"/>
        <v/>
      </c>
      <c r="H2659" s="35"/>
      <c r="I2659" s="31"/>
      <c r="J2659" s="156">
        <v>0</v>
      </c>
    </row>
    <row r="2660" spans="1:10" ht="15.75" hidden="1" thickBot="1" x14ac:dyDescent="0.3">
      <c r="A2660" s="221" t="s">
        <v>832</v>
      </c>
      <c r="B2660" s="224" t="str">
        <f>INDEX(Orçamentária!A:B,MATCH(Composições!A2660,Orçamentária!A:A,0),2)</f>
        <v>Adesivo Estrutural Epóxi Bicomponente</v>
      </c>
      <c r="C2660" s="41"/>
      <c r="D2660" s="26" t="str">
        <f>TRIM(INDEX(Orçamentária!C:C,MATCH(Composições!A2660,Orçamentária!A:A,0),1))</f>
        <v>kg</v>
      </c>
      <c r="E2660" s="27"/>
      <c r="F2660" s="42" t="s">
        <v>572</v>
      </c>
      <c r="G2660" s="28" t="str">
        <f t="shared" si="47"/>
        <v/>
      </c>
      <c r="H2660" s="29"/>
      <c r="I2660" s="30"/>
      <c r="J2660" s="156">
        <v>0</v>
      </c>
    </row>
    <row r="2661" spans="1:10" ht="15.75" hidden="1" thickBot="1" x14ac:dyDescent="0.3">
      <c r="A2661" s="222"/>
      <c r="B2661" s="225"/>
      <c r="C2661" s="32"/>
      <c r="D2661" s="32"/>
      <c r="E2661" s="33"/>
      <c r="F2661" s="43" t="s">
        <v>572</v>
      </c>
      <c r="G2661" s="34" t="str">
        <f t="shared" si="47"/>
        <v/>
      </c>
      <c r="H2661" s="35"/>
      <c r="I2661" s="31"/>
      <c r="J2661" s="156">
        <v>0</v>
      </c>
    </row>
    <row r="2662" spans="1:10" ht="26.25" hidden="1" thickBot="1" x14ac:dyDescent="0.3">
      <c r="A2662" s="222"/>
      <c r="B2662" s="225"/>
      <c r="C2662" s="36" t="s">
        <v>3440</v>
      </c>
      <c r="D2662" s="36" t="s">
        <v>42</v>
      </c>
      <c r="E2662" s="37">
        <v>1</v>
      </c>
      <c r="F2662" s="31">
        <v>43.300999999999995</v>
      </c>
      <c r="G2662" s="34">
        <f t="shared" si="47"/>
        <v>43.300999999999995</v>
      </c>
      <c r="H2662" s="39">
        <f>SUM(G2662:G2662)</f>
        <v>43.300999999999995</v>
      </c>
      <c r="I2662" s="40"/>
      <c r="J2662" s="156">
        <v>0</v>
      </c>
    </row>
    <row r="2663" spans="1:10" ht="15.75" hidden="1" thickBot="1" x14ac:dyDescent="0.3">
      <c r="A2663" s="223"/>
      <c r="B2663" s="226"/>
      <c r="C2663" s="36"/>
      <c r="D2663" s="36"/>
      <c r="E2663" s="37"/>
      <c r="F2663" s="31" t="s">
        <v>572</v>
      </c>
      <c r="G2663" s="34" t="str">
        <f t="shared" si="47"/>
        <v/>
      </c>
      <c r="H2663" s="35"/>
      <c r="I2663" s="31"/>
      <c r="J2663" s="156">
        <v>0</v>
      </c>
    </row>
    <row r="2664" spans="1:10" ht="15.75" hidden="1" thickBot="1" x14ac:dyDescent="0.3">
      <c r="A2664" s="221" t="s">
        <v>2356</v>
      </c>
      <c r="B2664" s="224" t="str">
        <f>INDEX(Orçamentária!A:B,MATCH(Composições!A2664,Orçamentária!A:A,0),2)</f>
        <v>Selante de Silicone</v>
      </c>
      <c r="C2664" s="41"/>
      <c r="D2664" s="26" t="str">
        <f>TRIM(INDEX(Orçamentária!C:C,MATCH(Composições!A2664,Orçamentária!A:A,0),1))</f>
        <v>un</v>
      </c>
      <c r="E2664" s="27"/>
      <c r="F2664" s="42" t="s">
        <v>572</v>
      </c>
      <c r="G2664" s="28" t="str">
        <f t="shared" si="47"/>
        <v/>
      </c>
      <c r="H2664" s="29"/>
      <c r="I2664" s="30"/>
      <c r="J2664" s="156">
        <v>0</v>
      </c>
    </row>
    <row r="2665" spans="1:10" ht="15.75" hidden="1" thickBot="1" x14ac:dyDescent="0.3">
      <c r="A2665" s="222"/>
      <c r="B2665" s="225"/>
      <c r="C2665" s="32"/>
      <c r="D2665" s="32"/>
      <c r="E2665" s="33"/>
      <c r="F2665" s="43" t="s">
        <v>572</v>
      </c>
      <c r="G2665" s="34" t="str">
        <f t="shared" si="47"/>
        <v/>
      </c>
      <c r="H2665" s="35"/>
      <c r="I2665" s="31"/>
      <c r="J2665" s="156">
        <v>0</v>
      </c>
    </row>
    <row r="2666" spans="1:10" ht="15.75" hidden="1" thickBot="1" x14ac:dyDescent="0.3">
      <c r="A2666" s="222"/>
      <c r="B2666" s="225"/>
      <c r="C2666" s="36" t="s">
        <v>1194</v>
      </c>
      <c r="D2666" s="47" t="s">
        <v>20</v>
      </c>
      <c r="E2666" s="37">
        <v>1</v>
      </c>
      <c r="F2666" s="31">
        <v>18.515499999999999</v>
      </c>
      <c r="G2666" s="34">
        <f t="shared" si="47"/>
        <v>18.515499999999999</v>
      </c>
      <c r="H2666" s="39">
        <f>SUM(G2666:G2666)</f>
        <v>18.515499999999999</v>
      </c>
      <c r="I2666" s="40"/>
      <c r="J2666" s="156">
        <v>0</v>
      </c>
    </row>
    <row r="2667" spans="1:10" ht="15.75" hidden="1" thickBot="1" x14ac:dyDescent="0.3">
      <c r="A2667" s="223"/>
      <c r="B2667" s="226"/>
      <c r="C2667" s="36"/>
      <c r="D2667" s="36"/>
      <c r="E2667" s="37"/>
      <c r="F2667" s="31" t="s">
        <v>572</v>
      </c>
      <c r="G2667" s="34" t="str">
        <f t="shared" si="47"/>
        <v/>
      </c>
      <c r="H2667" s="35"/>
      <c r="I2667" s="31"/>
      <c r="J2667" s="156">
        <v>0</v>
      </c>
    </row>
    <row r="2668" spans="1:10" ht="15.75" hidden="1" thickBot="1" x14ac:dyDescent="0.3">
      <c r="A2668" s="221" t="s">
        <v>834</v>
      </c>
      <c r="B2668" s="224" t="str">
        <f>INDEX(Orçamentária!A:B,MATCH(Composições!A2668,Orçamentária!A:A,0),2)</f>
        <v>Aditivo Impermeabilizante</v>
      </c>
      <c r="C2668" s="41"/>
      <c r="D2668" s="26" t="str">
        <f>TRIM(INDEX(Orçamentária!C:C,MATCH(Composições!A2668,Orçamentária!A:A,0),1))</f>
        <v>L</v>
      </c>
      <c r="E2668" s="27"/>
      <c r="F2668" s="42" t="s">
        <v>572</v>
      </c>
      <c r="G2668" s="28" t="str">
        <f t="shared" si="47"/>
        <v/>
      </c>
      <c r="H2668" s="29"/>
      <c r="I2668" s="30"/>
      <c r="J2668" s="156">
        <v>0</v>
      </c>
    </row>
    <row r="2669" spans="1:10" ht="15.75" hidden="1" thickBot="1" x14ac:dyDescent="0.3">
      <c r="A2669" s="222"/>
      <c r="B2669" s="225"/>
      <c r="C2669" s="32"/>
      <c r="D2669" s="32"/>
      <c r="E2669" s="33"/>
      <c r="F2669" s="43" t="s">
        <v>572</v>
      </c>
      <c r="G2669" s="34" t="str">
        <f t="shared" si="47"/>
        <v/>
      </c>
      <c r="H2669" s="35"/>
      <c r="I2669" s="31"/>
      <c r="J2669" s="156">
        <v>0</v>
      </c>
    </row>
    <row r="2670" spans="1:10" ht="39" hidden="1" thickBot="1" x14ac:dyDescent="0.3">
      <c r="A2670" s="222"/>
      <c r="B2670" s="225"/>
      <c r="C2670" s="36" t="s">
        <v>835</v>
      </c>
      <c r="D2670" s="47" t="s">
        <v>105</v>
      </c>
      <c r="E2670" s="37">
        <v>1</v>
      </c>
      <c r="F2670" s="31">
        <v>5.8425000000000002</v>
      </c>
      <c r="G2670" s="34">
        <f t="shared" si="47"/>
        <v>5.8425000000000002</v>
      </c>
      <c r="H2670" s="39">
        <f>SUM(G2670:G2670)</f>
        <v>5.8425000000000002</v>
      </c>
      <c r="I2670" s="40"/>
      <c r="J2670" s="156">
        <v>0</v>
      </c>
    </row>
    <row r="2671" spans="1:10" ht="15.75" hidden="1" thickBot="1" x14ac:dyDescent="0.3">
      <c r="A2671" s="223"/>
      <c r="B2671" s="226"/>
      <c r="C2671" s="36"/>
      <c r="D2671" s="36"/>
      <c r="E2671" s="37"/>
      <c r="F2671" s="31" t="s">
        <v>572</v>
      </c>
      <c r="G2671" s="34" t="str">
        <f t="shared" si="47"/>
        <v/>
      </c>
      <c r="H2671" s="35"/>
      <c r="I2671" s="31"/>
      <c r="J2671" s="156">
        <v>0</v>
      </c>
    </row>
    <row r="2672" spans="1:10" ht="15.75" hidden="1" thickBot="1" x14ac:dyDescent="0.3">
      <c r="A2672" s="221" t="s">
        <v>2373</v>
      </c>
      <c r="B2672" s="224" t="str">
        <f>INDEX(Orçamentária!A:B,MATCH(Composições!A2672,Orçamentária!A:A,0),2)</f>
        <v>Lona Plástica</v>
      </c>
      <c r="C2672" s="41"/>
      <c r="D2672" s="26" t="str">
        <f>TRIM(INDEX(Orçamentária!C:C,MATCH(Composições!A2672,Orçamentária!A:A,0),1))</f>
        <v>m2</v>
      </c>
      <c r="E2672" s="27"/>
      <c r="F2672" s="42" t="s">
        <v>572</v>
      </c>
      <c r="G2672" s="28" t="str">
        <f t="shared" si="47"/>
        <v/>
      </c>
      <c r="H2672" s="29"/>
      <c r="I2672" s="30"/>
      <c r="J2672" s="156">
        <v>0</v>
      </c>
    </row>
    <row r="2673" spans="1:10" ht="15.75" hidden="1" thickBot="1" x14ac:dyDescent="0.3">
      <c r="A2673" s="222"/>
      <c r="B2673" s="225"/>
      <c r="C2673" s="32"/>
      <c r="D2673" s="32"/>
      <c r="E2673" s="33"/>
      <c r="F2673" s="43" t="s">
        <v>572</v>
      </c>
      <c r="G2673" s="34" t="str">
        <f t="shared" si="47"/>
        <v/>
      </c>
      <c r="H2673" s="35"/>
      <c r="I2673" s="31"/>
      <c r="J2673" s="156">
        <v>0</v>
      </c>
    </row>
    <row r="2674" spans="1:10" ht="15.75" hidden="1" thickBot="1" x14ac:dyDescent="0.3">
      <c r="A2674" s="222"/>
      <c r="B2674" s="225"/>
      <c r="C2674" s="36" t="s">
        <v>3785</v>
      </c>
      <c r="D2674" s="47" t="s">
        <v>96</v>
      </c>
      <c r="E2674" s="37">
        <v>1</v>
      </c>
      <c r="F2674" s="31">
        <v>1.0924999999999998</v>
      </c>
      <c r="G2674" s="34">
        <f t="shared" si="47"/>
        <v>1.0924999999999998</v>
      </c>
      <c r="H2674" s="39">
        <f>SUM(G2674:G2674)</f>
        <v>1.0924999999999998</v>
      </c>
      <c r="I2674" s="40"/>
      <c r="J2674" s="156">
        <v>0</v>
      </c>
    </row>
    <row r="2675" spans="1:10" ht="15.75" hidden="1" thickBot="1" x14ac:dyDescent="0.3">
      <c r="A2675" s="223"/>
      <c r="B2675" s="226"/>
      <c r="C2675" s="36"/>
      <c r="D2675" s="36"/>
      <c r="E2675" s="37"/>
      <c r="F2675" s="31" t="s">
        <v>572</v>
      </c>
      <c r="G2675" s="34" t="str">
        <f t="shared" si="47"/>
        <v/>
      </c>
      <c r="H2675" s="35"/>
      <c r="I2675" s="31"/>
      <c r="J2675" s="156">
        <v>0</v>
      </c>
    </row>
    <row r="2676" spans="1:10" ht="15.75" hidden="1" thickBot="1" x14ac:dyDescent="0.3">
      <c r="A2676" s="221" t="s">
        <v>836</v>
      </c>
      <c r="B2676" s="224" t="str">
        <f>INDEX(Orçamentária!A:B,MATCH(Composições!A2676,Orçamentária!A:A,0),2)</f>
        <v>Supervisor(a)-Geral</v>
      </c>
      <c r="C2676" s="41"/>
      <c r="D2676" s="26" t="str">
        <f>TRIM(INDEX(Orçamentária!C:C,MATCH(Composições!A2676,Orçamentária!A:A,0),1))</f>
        <v>Profissional</v>
      </c>
      <c r="E2676" s="27"/>
      <c r="F2676" s="42" t="s">
        <v>572</v>
      </c>
      <c r="G2676" s="28" t="str">
        <f t="shared" si="47"/>
        <v/>
      </c>
      <c r="H2676" s="29"/>
      <c r="I2676" s="30"/>
      <c r="J2676" s="156">
        <v>0</v>
      </c>
    </row>
    <row r="2677" spans="1:10" ht="15.75" hidden="1" thickBot="1" x14ac:dyDescent="0.3">
      <c r="A2677" s="222"/>
      <c r="B2677" s="225"/>
      <c r="C2677" s="32"/>
      <c r="D2677" s="32"/>
      <c r="E2677" s="33"/>
      <c r="F2677" s="43" t="s">
        <v>572</v>
      </c>
      <c r="G2677" s="34" t="str">
        <f t="shared" si="47"/>
        <v/>
      </c>
      <c r="H2677" s="35"/>
      <c r="I2677" s="31"/>
      <c r="J2677" s="156">
        <v>0</v>
      </c>
    </row>
    <row r="2678" spans="1:10" ht="26.25" hidden="1" thickBot="1" x14ac:dyDescent="0.3">
      <c r="A2678" s="222"/>
      <c r="B2678" s="225"/>
      <c r="C2678" s="36" t="s">
        <v>837</v>
      </c>
      <c r="D2678" s="47" t="s">
        <v>12</v>
      </c>
      <c r="E2678" s="37">
        <f>ROUND(220/(1+112.85%),4)</f>
        <v>103.3592</v>
      </c>
      <c r="F2678" s="31">
        <v>100.3295</v>
      </c>
      <c r="G2678" s="34">
        <f t="shared" si="47"/>
        <v>10369.976856400001</v>
      </c>
      <c r="H2678" s="39">
        <f>SUM(G2678:G2678)</f>
        <v>10369.976856400001</v>
      </c>
      <c r="I2678" s="40"/>
      <c r="J2678" s="156">
        <v>0</v>
      </c>
    </row>
    <row r="2679" spans="1:10" ht="15.75" hidden="1" thickBot="1" x14ac:dyDescent="0.3">
      <c r="A2679" s="222"/>
      <c r="B2679" s="225"/>
      <c r="C2679" s="36"/>
      <c r="D2679" s="47"/>
      <c r="E2679" s="37"/>
      <c r="F2679" s="31" t="s">
        <v>572</v>
      </c>
      <c r="G2679" s="34" t="str">
        <f t="shared" si="47"/>
        <v/>
      </c>
      <c r="H2679" s="39"/>
      <c r="I2679" s="40"/>
      <c r="J2679" s="156">
        <v>0</v>
      </c>
    </row>
    <row r="2680" spans="1:10" ht="26.25" hidden="1" thickBot="1" x14ac:dyDescent="0.3">
      <c r="A2680" s="222"/>
      <c r="B2680" s="225"/>
      <c r="C2680" s="48" t="s">
        <v>838</v>
      </c>
      <c r="D2680" s="47"/>
      <c r="E2680" s="37"/>
      <c r="F2680" s="31" t="s">
        <v>572</v>
      </c>
      <c r="G2680" s="34" t="str">
        <f t="shared" si="47"/>
        <v/>
      </c>
      <c r="H2680" s="39"/>
      <c r="I2680" s="40"/>
      <c r="J2680" s="156">
        <v>0</v>
      </c>
    </row>
    <row r="2681" spans="1:10" ht="15.75" hidden="1" thickBot="1" x14ac:dyDescent="0.3">
      <c r="A2681" s="223"/>
      <c r="B2681" s="226"/>
      <c r="C2681" s="36"/>
      <c r="D2681" s="36"/>
      <c r="E2681" s="37"/>
      <c r="F2681" s="31" t="s">
        <v>572</v>
      </c>
      <c r="G2681" s="34" t="str">
        <f t="shared" si="47"/>
        <v/>
      </c>
      <c r="H2681" s="35"/>
      <c r="I2681" s="31"/>
      <c r="J2681" s="156">
        <v>0</v>
      </c>
    </row>
    <row r="2682" spans="1:10" ht="15.75" hidden="1" thickBot="1" x14ac:dyDescent="0.3">
      <c r="A2682" s="221" t="s">
        <v>839</v>
      </c>
      <c r="B2682" s="224" t="str">
        <f>INDEX(Orçamentária!A:B,MATCH(Composições!A2682,Orçamentária!A:A,0),2)</f>
        <v>Apoio Técnico Administrativo – Controle de Almoxarifado</v>
      </c>
      <c r="C2682" s="41"/>
      <c r="D2682" s="26" t="str">
        <f>TRIM(INDEX(Orçamentária!C:C,MATCH(Composições!A2682,Orçamentária!A:A,0),1))</f>
        <v>Profissional</v>
      </c>
      <c r="E2682" s="27"/>
      <c r="F2682" s="42" t="s">
        <v>572</v>
      </c>
      <c r="G2682" s="28" t="str">
        <f t="shared" si="47"/>
        <v/>
      </c>
      <c r="H2682" s="29"/>
      <c r="I2682" s="30"/>
      <c r="J2682" s="156">
        <v>0</v>
      </c>
    </row>
    <row r="2683" spans="1:10" ht="15.75" hidden="1" thickBot="1" x14ac:dyDescent="0.3">
      <c r="A2683" s="227"/>
      <c r="B2683" s="225"/>
      <c r="C2683" s="32"/>
      <c r="D2683" s="32"/>
      <c r="E2683" s="33"/>
      <c r="F2683" s="43" t="s">
        <v>572</v>
      </c>
      <c r="G2683" s="34" t="str">
        <f t="shared" si="47"/>
        <v/>
      </c>
      <c r="H2683" s="35"/>
      <c r="I2683" s="31"/>
      <c r="J2683" s="156">
        <v>0</v>
      </c>
    </row>
    <row r="2684" spans="1:10" ht="15.75" hidden="1" thickBot="1" x14ac:dyDescent="0.3">
      <c r="A2684" s="227"/>
      <c r="B2684" s="225"/>
      <c r="C2684" s="36" t="s">
        <v>840</v>
      </c>
      <c r="D2684" s="47" t="s">
        <v>12</v>
      </c>
      <c r="E2684" s="37">
        <f>ROUND(220/(1+112.85%),4)</f>
        <v>103.3592</v>
      </c>
      <c r="F2684" s="31">
        <v>26.058499999999999</v>
      </c>
      <c r="G2684" s="34">
        <f t="shared" si="47"/>
        <v>2693.3857131999998</v>
      </c>
      <c r="H2684" s="39">
        <f>SUM(G2684:G2684)</f>
        <v>2693.3857131999998</v>
      </c>
      <c r="I2684" s="40"/>
      <c r="J2684" s="156">
        <v>0</v>
      </c>
    </row>
    <row r="2685" spans="1:10" ht="15.75" hidden="1" thickBot="1" x14ac:dyDescent="0.3">
      <c r="A2685" s="227"/>
      <c r="B2685" s="225"/>
      <c r="C2685" s="36"/>
      <c r="D2685" s="47"/>
      <c r="E2685" s="37"/>
      <c r="F2685" s="31" t="s">
        <v>572</v>
      </c>
      <c r="G2685" s="34" t="str">
        <f t="shared" si="47"/>
        <v/>
      </c>
      <c r="H2685" s="39"/>
      <c r="I2685" s="40"/>
      <c r="J2685" s="156">
        <v>0</v>
      </c>
    </row>
    <row r="2686" spans="1:10" ht="26.25" hidden="1" thickBot="1" x14ac:dyDescent="0.3">
      <c r="A2686" s="227"/>
      <c r="B2686" s="225"/>
      <c r="C2686" s="48" t="s">
        <v>838</v>
      </c>
      <c r="D2686" s="47"/>
      <c r="E2686" s="37"/>
      <c r="F2686" s="31" t="s">
        <v>572</v>
      </c>
      <c r="G2686" s="34" t="str">
        <f t="shared" si="47"/>
        <v/>
      </c>
      <c r="H2686" s="39"/>
      <c r="I2686" s="40"/>
      <c r="J2686" s="156">
        <v>0</v>
      </c>
    </row>
    <row r="2687" spans="1:10" ht="15.75" hidden="1" thickBot="1" x14ac:dyDescent="0.3">
      <c r="A2687" s="228"/>
      <c r="B2687" s="226"/>
      <c r="C2687" s="36"/>
      <c r="D2687" s="36"/>
      <c r="E2687" s="37"/>
      <c r="F2687" s="31" t="s">
        <v>572</v>
      </c>
      <c r="G2687" s="34" t="str">
        <f t="shared" si="47"/>
        <v/>
      </c>
      <c r="H2687" s="35"/>
      <c r="I2687" s="31"/>
      <c r="J2687" s="156">
        <v>0</v>
      </c>
    </row>
    <row r="2688" spans="1:10" ht="15.75" hidden="1" thickBot="1" x14ac:dyDescent="0.3">
      <c r="A2688" s="221" t="s">
        <v>841</v>
      </c>
      <c r="B2688" s="224" t="str">
        <f>INDEX(Orçamentária!A:B,MATCH(Composições!A2688,Orçamentária!A:A,0),2)</f>
        <v>Ajudante de Serviços Gerais</v>
      </c>
      <c r="C2688" s="41"/>
      <c r="D2688" s="26" t="str">
        <f>TRIM(INDEX(Orçamentária!C:C,MATCH(Composições!A2688,Orçamentária!A:A,0),1))</f>
        <v>Profissional</v>
      </c>
      <c r="E2688" s="27"/>
      <c r="F2688" s="42" t="s">
        <v>572</v>
      </c>
      <c r="G2688" s="28" t="str">
        <f t="shared" si="47"/>
        <v/>
      </c>
      <c r="H2688" s="29"/>
      <c r="I2688" s="30"/>
      <c r="J2688" s="156">
        <v>0</v>
      </c>
    </row>
    <row r="2689" spans="1:10" ht="15.75" hidden="1" thickBot="1" x14ac:dyDescent="0.3">
      <c r="A2689" s="222"/>
      <c r="B2689" s="225"/>
      <c r="C2689" s="32"/>
      <c r="D2689" s="32"/>
      <c r="E2689" s="33"/>
      <c r="F2689" s="43" t="s">
        <v>572</v>
      </c>
      <c r="G2689" s="34" t="str">
        <f t="shared" si="47"/>
        <v/>
      </c>
      <c r="H2689" s="35"/>
      <c r="I2689" s="31"/>
      <c r="J2689" s="156">
        <v>0</v>
      </c>
    </row>
    <row r="2690" spans="1:10" ht="15.75" hidden="1" thickBot="1" x14ac:dyDescent="0.3">
      <c r="A2690" s="222"/>
      <c r="B2690" s="225"/>
      <c r="C2690" s="36" t="s">
        <v>760</v>
      </c>
      <c r="D2690" s="47" t="s">
        <v>12</v>
      </c>
      <c r="E2690" s="37">
        <f>ROUND(220/(1+112.85%),4)</f>
        <v>103.3592</v>
      </c>
      <c r="F2690" s="31">
        <v>16.311500000000002</v>
      </c>
      <c r="G2690" s="34">
        <f t="shared" si="47"/>
        <v>1685.9435908000003</v>
      </c>
      <c r="H2690" s="39">
        <f>SUM(G2690:G2690)</f>
        <v>1685.9435908000003</v>
      </c>
      <c r="I2690" s="40"/>
      <c r="J2690" s="156">
        <v>0</v>
      </c>
    </row>
    <row r="2691" spans="1:10" ht="15.75" hidden="1" thickBot="1" x14ac:dyDescent="0.3">
      <c r="A2691" s="222"/>
      <c r="B2691" s="225"/>
      <c r="C2691" s="36"/>
      <c r="D2691" s="47"/>
      <c r="E2691" s="37"/>
      <c r="F2691" s="31" t="s">
        <v>572</v>
      </c>
      <c r="G2691" s="34" t="str">
        <f t="shared" si="47"/>
        <v/>
      </c>
      <c r="H2691" s="39"/>
      <c r="I2691" s="40"/>
      <c r="J2691" s="156">
        <v>0</v>
      </c>
    </row>
    <row r="2692" spans="1:10" ht="26.25" hidden="1" thickBot="1" x14ac:dyDescent="0.3">
      <c r="A2692" s="222"/>
      <c r="B2692" s="225"/>
      <c r="C2692" s="48" t="s">
        <v>838</v>
      </c>
      <c r="D2692" s="47"/>
      <c r="E2692" s="37"/>
      <c r="F2692" s="31" t="s">
        <v>572</v>
      </c>
      <c r="G2692" s="34" t="str">
        <f t="shared" si="47"/>
        <v/>
      </c>
      <c r="H2692" s="39"/>
      <c r="I2692" s="40"/>
      <c r="J2692" s="156">
        <v>0</v>
      </c>
    </row>
    <row r="2693" spans="1:10" ht="15.75" hidden="1" thickBot="1" x14ac:dyDescent="0.3">
      <c r="A2693" s="223"/>
      <c r="B2693" s="226"/>
      <c r="C2693" s="36"/>
      <c r="D2693" s="36"/>
      <c r="E2693" s="37"/>
      <c r="F2693" s="31" t="s">
        <v>572</v>
      </c>
      <c r="G2693" s="34" t="str">
        <f t="shared" si="47"/>
        <v/>
      </c>
      <c r="H2693" s="35"/>
      <c r="I2693" s="31"/>
      <c r="J2693" s="156">
        <v>0</v>
      </c>
    </row>
    <row r="2694" spans="1:10" ht="15.75" hidden="1" thickBot="1" x14ac:dyDescent="0.3">
      <c r="A2694" s="221" t="s">
        <v>842</v>
      </c>
      <c r="B2694" s="224" t="str">
        <f>INDEX(Orçamentária!A:B,MATCH(Composições!A2694,Orçamentária!A:A,0),2)</f>
        <v>Ajudante de Marceneiro(a)</v>
      </c>
      <c r="C2694" s="41"/>
      <c r="D2694" s="26" t="str">
        <f>TRIM(INDEX(Orçamentária!C:C,MATCH(Composições!A2694,Orçamentária!A:A,0),1))</f>
        <v>Profissional</v>
      </c>
      <c r="E2694" s="27"/>
      <c r="F2694" s="42" t="s">
        <v>572</v>
      </c>
      <c r="G2694" s="28" t="str">
        <f t="shared" si="47"/>
        <v/>
      </c>
      <c r="H2694" s="29"/>
      <c r="I2694" s="30"/>
      <c r="J2694" s="156">
        <v>0</v>
      </c>
    </row>
    <row r="2695" spans="1:10" ht="15.75" hidden="1" thickBot="1" x14ac:dyDescent="0.3">
      <c r="A2695" s="222"/>
      <c r="B2695" s="225"/>
      <c r="C2695" s="32"/>
      <c r="D2695" s="32"/>
      <c r="E2695" s="33"/>
      <c r="F2695" s="43" t="s">
        <v>572</v>
      </c>
      <c r="G2695" s="34" t="str">
        <f t="shared" si="47"/>
        <v/>
      </c>
      <c r="H2695" s="35"/>
      <c r="I2695" s="31"/>
      <c r="J2695" s="156">
        <v>0</v>
      </c>
    </row>
    <row r="2696" spans="1:10" ht="15.75" hidden="1" thickBot="1" x14ac:dyDescent="0.3">
      <c r="A2696" s="222"/>
      <c r="B2696" s="225"/>
      <c r="C2696" s="36" t="s">
        <v>843</v>
      </c>
      <c r="D2696" s="47" t="s">
        <v>12</v>
      </c>
      <c r="E2696" s="37">
        <f>ROUND(220/(1+112.85%),4)</f>
        <v>103.3592</v>
      </c>
      <c r="F2696" s="31">
        <v>18.468</v>
      </c>
      <c r="G2696" s="34">
        <f t="shared" si="47"/>
        <v>1908.8377055999999</v>
      </c>
      <c r="H2696" s="39">
        <f>SUM(G2696:G2696)</f>
        <v>1908.8377055999999</v>
      </c>
      <c r="I2696" s="40"/>
      <c r="J2696" s="156">
        <v>0</v>
      </c>
    </row>
    <row r="2697" spans="1:10" ht="15.75" hidden="1" thickBot="1" x14ac:dyDescent="0.3">
      <c r="A2697" s="222"/>
      <c r="B2697" s="225"/>
      <c r="C2697" s="36"/>
      <c r="D2697" s="47"/>
      <c r="E2697" s="37"/>
      <c r="F2697" s="31" t="s">
        <v>572</v>
      </c>
      <c r="G2697" s="34" t="str">
        <f t="shared" si="47"/>
        <v/>
      </c>
      <c r="H2697" s="39"/>
      <c r="I2697" s="40"/>
      <c r="J2697" s="156">
        <v>0</v>
      </c>
    </row>
    <row r="2698" spans="1:10" ht="26.25" hidden="1" thickBot="1" x14ac:dyDescent="0.3">
      <c r="A2698" s="222"/>
      <c r="B2698" s="225"/>
      <c r="C2698" s="48" t="s">
        <v>838</v>
      </c>
      <c r="D2698" s="47"/>
      <c r="E2698" s="37"/>
      <c r="F2698" s="31" t="s">
        <v>572</v>
      </c>
      <c r="G2698" s="34" t="str">
        <f t="shared" si="47"/>
        <v/>
      </c>
      <c r="H2698" s="39"/>
      <c r="I2698" s="40"/>
      <c r="J2698" s="156">
        <v>0</v>
      </c>
    </row>
    <row r="2699" spans="1:10" ht="15.75" hidden="1" thickBot="1" x14ac:dyDescent="0.3">
      <c r="A2699" s="223"/>
      <c r="B2699" s="226"/>
      <c r="C2699" s="36"/>
      <c r="D2699" s="36"/>
      <c r="E2699" s="37"/>
      <c r="F2699" s="31" t="s">
        <v>572</v>
      </c>
      <c r="G2699" s="34" t="str">
        <f t="shared" si="47"/>
        <v/>
      </c>
      <c r="H2699" s="35"/>
      <c r="I2699" s="31"/>
      <c r="J2699" s="156">
        <v>0</v>
      </c>
    </row>
    <row r="2700" spans="1:10" ht="15.75" hidden="1" thickBot="1" x14ac:dyDescent="0.3">
      <c r="A2700" s="221" t="s">
        <v>844</v>
      </c>
      <c r="B2700" s="224" t="str">
        <f>INDEX(Orçamentária!A:B,MATCH(Composições!A2700,Orçamentária!A:A,0),2)</f>
        <v>Ajudante de Serralheiro(a)</v>
      </c>
      <c r="C2700" s="41"/>
      <c r="D2700" s="26" t="str">
        <f>TRIM(INDEX(Orçamentária!C:C,MATCH(Composições!A2700,Orçamentária!A:A,0),1))</f>
        <v>Profissional</v>
      </c>
      <c r="E2700" s="27"/>
      <c r="F2700" s="42" t="s">
        <v>572</v>
      </c>
      <c r="G2700" s="28" t="str">
        <f t="shared" si="47"/>
        <v/>
      </c>
      <c r="H2700" s="29"/>
      <c r="I2700" s="30"/>
      <c r="J2700" s="156">
        <v>0</v>
      </c>
    </row>
    <row r="2701" spans="1:10" ht="15.75" hidden="1" thickBot="1" x14ac:dyDescent="0.3">
      <c r="A2701" s="222"/>
      <c r="B2701" s="225"/>
      <c r="C2701" s="32"/>
      <c r="D2701" s="32"/>
      <c r="E2701" s="33"/>
      <c r="F2701" s="43" t="s">
        <v>572</v>
      </c>
      <c r="G2701" s="34" t="str">
        <f t="shared" si="47"/>
        <v/>
      </c>
      <c r="H2701" s="35"/>
      <c r="I2701" s="31"/>
      <c r="J2701" s="156">
        <v>0</v>
      </c>
    </row>
    <row r="2702" spans="1:10" ht="15.75" hidden="1" thickBot="1" x14ac:dyDescent="0.3">
      <c r="A2702" s="222"/>
      <c r="B2702" s="225"/>
      <c r="C2702" s="36" t="s">
        <v>845</v>
      </c>
      <c r="D2702" s="47" t="s">
        <v>12</v>
      </c>
      <c r="E2702" s="37">
        <f>ROUND(220/(1+112.85%),4)</f>
        <v>103.3592</v>
      </c>
      <c r="F2702" s="31">
        <v>17.898</v>
      </c>
      <c r="G2702" s="34">
        <f t="shared" si="47"/>
        <v>1849.9229616</v>
      </c>
      <c r="H2702" s="39">
        <f>SUM(G2702:G2702)</f>
        <v>1849.9229616</v>
      </c>
      <c r="I2702" s="40"/>
      <c r="J2702" s="156">
        <v>0</v>
      </c>
    </row>
    <row r="2703" spans="1:10" ht="15.75" hidden="1" thickBot="1" x14ac:dyDescent="0.3">
      <c r="A2703" s="222"/>
      <c r="B2703" s="225"/>
      <c r="C2703" s="36"/>
      <c r="D2703" s="47"/>
      <c r="E2703" s="37"/>
      <c r="F2703" s="31" t="s">
        <v>572</v>
      </c>
      <c r="G2703" s="34" t="str">
        <f t="shared" si="47"/>
        <v/>
      </c>
      <c r="H2703" s="39"/>
      <c r="I2703" s="40"/>
      <c r="J2703" s="156">
        <v>0</v>
      </c>
    </row>
    <row r="2704" spans="1:10" ht="26.25" hidden="1" thickBot="1" x14ac:dyDescent="0.3">
      <c r="A2704" s="222"/>
      <c r="B2704" s="225"/>
      <c r="C2704" s="48" t="s">
        <v>838</v>
      </c>
      <c r="D2704" s="47"/>
      <c r="E2704" s="37"/>
      <c r="F2704" s="31" t="s">
        <v>572</v>
      </c>
      <c r="G2704" s="34" t="str">
        <f t="shared" si="47"/>
        <v/>
      </c>
      <c r="H2704" s="39"/>
      <c r="I2704" s="40"/>
      <c r="J2704" s="156">
        <v>0</v>
      </c>
    </row>
    <row r="2705" spans="1:10" ht="15.75" hidden="1" thickBot="1" x14ac:dyDescent="0.3">
      <c r="A2705" s="223"/>
      <c r="B2705" s="226"/>
      <c r="C2705" s="36"/>
      <c r="D2705" s="36"/>
      <c r="E2705" s="37"/>
      <c r="F2705" s="31" t="s">
        <v>572</v>
      </c>
      <c r="G2705" s="34" t="str">
        <f t="shared" si="47"/>
        <v/>
      </c>
      <c r="H2705" s="35"/>
      <c r="I2705" s="31"/>
      <c r="J2705" s="156">
        <v>0</v>
      </c>
    </row>
    <row r="2706" spans="1:10" ht="15.75" hidden="1" thickBot="1" x14ac:dyDescent="0.3">
      <c r="A2706" s="221" t="s">
        <v>846</v>
      </c>
      <c r="B2706" s="224" t="str">
        <f>INDEX(Orçamentária!A:B,MATCH(Composições!A2706,Orçamentária!A:A,0),2)</f>
        <v>Lustrador(a) de Móveis</v>
      </c>
      <c r="C2706" s="41"/>
      <c r="D2706" s="26" t="str">
        <f>TRIM(INDEX(Orçamentária!C:C,MATCH(Composições!A2706,Orçamentária!A:A,0),1))</f>
        <v>Profissional</v>
      </c>
      <c r="E2706" s="27"/>
      <c r="F2706" s="42" t="s">
        <v>572</v>
      </c>
      <c r="G2706" s="28" t="str">
        <f t="shared" ref="G2706:G2769" si="48">IF(ISNUMBER(F2706),E2706*F2706,"")</f>
        <v/>
      </c>
      <c r="H2706" s="29"/>
      <c r="I2706" s="30"/>
      <c r="J2706" s="156">
        <v>0</v>
      </c>
    </row>
    <row r="2707" spans="1:10" ht="15.75" hidden="1" thickBot="1" x14ac:dyDescent="0.3">
      <c r="A2707" s="222"/>
      <c r="B2707" s="225"/>
      <c r="C2707" s="32"/>
      <c r="D2707" s="32"/>
      <c r="E2707" s="33"/>
      <c r="F2707" s="43" t="s">
        <v>572</v>
      </c>
      <c r="G2707" s="34" t="str">
        <f t="shared" si="48"/>
        <v/>
      </c>
      <c r="H2707" s="35"/>
      <c r="I2707" s="31"/>
      <c r="J2707" s="156">
        <v>0</v>
      </c>
    </row>
    <row r="2708" spans="1:10" ht="15.75" hidden="1" thickBot="1" x14ac:dyDescent="0.3">
      <c r="A2708" s="222"/>
      <c r="B2708" s="225"/>
      <c r="C2708" s="36" t="s">
        <v>660</v>
      </c>
      <c r="D2708" s="47" t="s">
        <v>12</v>
      </c>
      <c r="E2708" s="37">
        <f>ROUND(220/(1+112.85%),4)</f>
        <v>103.3592</v>
      </c>
      <c r="F2708" s="31">
        <v>22.268000000000001</v>
      </c>
      <c r="G2708" s="34">
        <f t="shared" si="48"/>
        <v>2301.6026655999999</v>
      </c>
      <c r="H2708" s="39">
        <f>SUM(G2708:G2708)</f>
        <v>2301.6026655999999</v>
      </c>
      <c r="I2708" s="40"/>
      <c r="J2708" s="156">
        <v>0</v>
      </c>
    </row>
    <row r="2709" spans="1:10" ht="15.75" hidden="1" thickBot="1" x14ac:dyDescent="0.3">
      <c r="A2709" s="222"/>
      <c r="B2709" s="225"/>
      <c r="C2709" s="36"/>
      <c r="D2709" s="47"/>
      <c r="E2709" s="37"/>
      <c r="F2709" s="31" t="s">
        <v>572</v>
      </c>
      <c r="G2709" s="34" t="str">
        <f t="shared" si="48"/>
        <v/>
      </c>
      <c r="H2709" s="39"/>
      <c r="I2709" s="40"/>
      <c r="J2709" s="156">
        <v>0</v>
      </c>
    </row>
    <row r="2710" spans="1:10" ht="26.25" hidden="1" thickBot="1" x14ac:dyDescent="0.3">
      <c r="A2710" s="222"/>
      <c r="B2710" s="225"/>
      <c r="C2710" s="48" t="s">
        <v>838</v>
      </c>
      <c r="D2710" s="47"/>
      <c r="E2710" s="37"/>
      <c r="F2710" s="31" t="s">
        <v>572</v>
      </c>
      <c r="G2710" s="34" t="str">
        <f t="shared" si="48"/>
        <v/>
      </c>
      <c r="H2710" s="39"/>
      <c r="I2710" s="40"/>
      <c r="J2710" s="156">
        <v>0</v>
      </c>
    </row>
    <row r="2711" spans="1:10" ht="15.75" hidden="1" thickBot="1" x14ac:dyDescent="0.3">
      <c r="A2711" s="223"/>
      <c r="B2711" s="226"/>
      <c r="C2711" s="36"/>
      <c r="D2711" s="36"/>
      <c r="E2711" s="37"/>
      <c r="F2711" s="31" t="s">
        <v>572</v>
      </c>
      <c r="G2711" s="34" t="str">
        <f t="shared" si="48"/>
        <v/>
      </c>
      <c r="H2711" s="35"/>
      <c r="I2711" s="31"/>
      <c r="J2711" s="156">
        <v>0</v>
      </c>
    </row>
    <row r="2712" spans="1:10" ht="15.75" hidden="1" thickBot="1" x14ac:dyDescent="0.3">
      <c r="A2712" s="221" t="s">
        <v>847</v>
      </c>
      <c r="B2712" s="224" t="str">
        <f>INDEX(Orçamentária!A:B,MATCH(Composições!A2712,Orçamentária!A:A,0),2)</f>
        <v>Marceneiro(a)</v>
      </c>
      <c r="C2712" s="41"/>
      <c r="D2712" s="26" t="str">
        <f>TRIM(INDEX(Orçamentária!C:C,MATCH(Composições!A2712,Orçamentária!A:A,0),1))</f>
        <v>Profissional</v>
      </c>
      <c r="E2712" s="27"/>
      <c r="F2712" s="42" t="s">
        <v>572</v>
      </c>
      <c r="G2712" s="28" t="str">
        <f t="shared" si="48"/>
        <v/>
      </c>
      <c r="H2712" s="29"/>
      <c r="I2712" s="30"/>
      <c r="J2712" s="156">
        <v>0</v>
      </c>
    </row>
    <row r="2713" spans="1:10" ht="15.75" hidden="1" thickBot="1" x14ac:dyDescent="0.3">
      <c r="A2713" s="222"/>
      <c r="B2713" s="225"/>
      <c r="C2713" s="32"/>
      <c r="D2713" s="32"/>
      <c r="E2713" s="33"/>
      <c r="F2713" s="43" t="s">
        <v>572</v>
      </c>
      <c r="G2713" s="34" t="str">
        <f t="shared" si="48"/>
        <v/>
      </c>
      <c r="H2713" s="35"/>
      <c r="I2713" s="31"/>
      <c r="J2713" s="156">
        <v>0</v>
      </c>
    </row>
    <row r="2714" spans="1:10" ht="15.75" hidden="1" thickBot="1" x14ac:dyDescent="0.3">
      <c r="A2714" s="222"/>
      <c r="B2714" s="225"/>
      <c r="C2714" s="36" t="s">
        <v>660</v>
      </c>
      <c r="D2714" s="47" t="s">
        <v>12</v>
      </c>
      <c r="E2714" s="37">
        <f>ROUND(220/(1+112.85%),4)</f>
        <v>103.3592</v>
      </c>
      <c r="F2714" s="31">
        <v>22.268000000000001</v>
      </c>
      <c r="G2714" s="34">
        <f t="shared" si="48"/>
        <v>2301.6026655999999</v>
      </c>
      <c r="H2714" s="39">
        <f>SUM(G2714:G2714)</f>
        <v>2301.6026655999999</v>
      </c>
      <c r="I2714" s="40"/>
      <c r="J2714" s="156">
        <v>0</v>
      </c>
    </row>
    <row r="2715" spans="1:10" ht="15.75" hidden="1" thickBot="1" x14ac:dyDescent="0.3">
      <c r="A2715" s="222"/>
      <c r="B2715" s="225"/>
      <c r="C2715" s="36"/>
      <c r="D2715" s="47"/>
      <c r="E2715" s="37"/>
      <c r="F2715" s="31" t="s">
        <v>572</v>
      </c>
      <c r="G2715" s="34" t="str">
        <f t="shared" si="48"/>
        <v/>
      </c>
      <c r="H2715" s="39"/>
      <c r="I2715" s="40"/>
      <c r="J2715" s="156">
        <v>0</v>
      </c>
    </row>
    <row r="2716" spans="1:10" ht="26.25" hidden="1" thickBot="1" x14ac:dyDescent="0.3">
      <c r="A2716" s="222"/>
      <c r="B2716" s="225"/>
      <c r="C2716" s="48" t="s">
        <v>838</v>
      </c>
      <c r="D2716" s="47"/>
      <c r="E2716" s="37"/>
      <c r="F2716" s="31" t="s">
        <v>572</v>
      </c>
      <c r="G2716" s="34" t="str">
        <f t="shared" si="48"/>
        <v/>
      </c>
      <c r="H2716" s="39"/>
      <c r="I2716" s="40"/>
      <c r="J2716" s="156">
        <v>0</v>
      </c>
    </row>
    <row r="2717" spans="1:10" ht="15.75" hidden="1" thickBot="1" x14ac:dyDescent="0.3">
      <c r="A2717" s="223"/>
      <c r="B2717" s="226"/>
      <c r="C2717" s="36"/>
      <c r="D2717" s="36"/>
      <c r="E2717" s="37"/>
      <c r="F2717" s="31" t="s">
        <v>572</v>
      </c>
      <c r="G2717" s="34" t="str">
        <f t="shared" si="48"/>
        <v/>
      </c>
      <c r="H2717" s="35"/>
      <c r="I2717" s="31"/>
      <c r="J2717" s="156">
        <v>0</v>
      </c>
    </row>
    <row r="2718" spans="1:10" ht="15.75" hidden="1" thickBot="1" x14ac:dyDescent="0.3">
      <c r="A2718" s="221" t="s">
        <v>848</v>
      </c>
      <c r="B2718" s="224" t="str">
        <f>INDEX(Orçamentária!A:B,MATCH(Composições!A2718,Orçamentária!A:A,0),2)</f>
        <v>Serralheiro(a)</v>
      </c>
      <c r="C2718" s="41"/>
      <c r="D2718" s="26" t="str">
        <f>TRIM(INDEX(Orçamentária!C:C,MATCH(Composições!A2718,Orçamentária!A:A,0),1))</f>
        <v>Profissional</v>
      </c>
      <c r="E2718" s="27"/>
      <c r="F2718" s="42" t="s">
        <v>572</v>
      </c>
      <c r="G2718" s="28" t="str">
        <f t="shared" si="48"/>
        <v/>
      </c>
      <c r="H2718" s="29"/>
      <c r="I2718" s="30"/>
      <c r="J2718" s="156">
        <v>0</v>
      </c>
    </row>
    <row r="2719" spans="1:10" ht="15.75" hidden="1" thickBot="1" x14ac:dyDescent="0.3">
      <c r="A2719" s="222"/>
      <c r="B2719" s="225"/>
      <c r="C2719" s="32"/>
      <c r="D2719" s="32"/>
      <c r="E2719" s="33"/>
      <c r="F2719" s="43" t="s">
        <v>572</v>
      </c>
      <c r="G2719" s="34" t="str">
        <f t="shared" si="48"/>
        <v/>
      </c>
      <c r="H2719" s="35"/>
      <c r="I2719" s="31"/>
      <c r="J2719" s="156">
        <v>0</v>
      </c>
    </row>
    <row r="2720" spans="1:10" ht="15.75" hidden="1" thickBot="1" x14ac:dyDescent="0.3">
      <c r="A2720" s="222"/>
      <c r="B2720" s="225"/>
      <c r="C2720" s="36" t="s">
        <v>670</v>
      </c>
      <c r="D2720" s="47" t="s">
        <v>12</v>
      </c>
      <c r="E2720" s="37">
        <f>ROUND(220/(1+112.85%),4)</f>
        <v>103.3592</v>
      </c>
      <c r="F2720" s="31">
        <v>21.973499999999998</v>
      </c>
      <c r="G2720" s="34">
        <f t="shared" si="48"/>
        <v>2271.1633812</v>
      </c>
      <c r="H2720" s="39">
        <f>SUM(G2720:G2720)</f>
        <v>2271.1633812</v>
      </c>
      <c r="I2720" s="40"/>
      <c r="J2720" s="156">
        <v>0</v>
      </c>
    </row>
    <row r="2721" spans="1:10" ht="15.75" hidden="1" thickBot="1" x14ac:dyDescent="0.3">
      <c r="A2721" s="222"/>
      <c r="B2721" s="225"/>
      <c r="C2721" s="36"/>
      <c r="D2721" s="47"/>
      <c r="E2721" s="37"/>
      <c r="F2721" s="31" t="s">
        <v>572</v>
      </c>
      <c r="G2721" s="34" t="str">
        <f t="shared" si="48"/>
        <v/>
      </c>
      <c r="H2721" s="39"/>
      <c r="I2721" s="40"/>
      <c r="J2721" s="156">
        <v>0</v>
      </c>
    </row>
    <row r="2722" spans="1:10" ht="26.25" hidden="1" thickBot="1" x14ac:dyDescent="0.3">
      <c r="A2722" s="222"/>
      <c r="B2722" s="225"/>
      <c r="C2722" s="48" t="s">
        <v>838</v>
      </c>
      <c r="D2722" s="47"/>
      <c r="E2722" s="37"/>
      <c r="F2722" s="31" t="s">
        <v>572</v>
      </c>
      <c r="G2722" s="34" t="str">
        <f t="shared" si="48"/>
        <v/>
      </c>
      <c r="H2722" s="39"/>
      <c r="I2722" s="40"/>
      <c r="J2722" s="156">
        <v>0</v>
      </c>
    </row>
    <row r="2723" spans="1:10" ht="15.75" hidden="1" thickBot="1" x14ac:dyDescent="0.3">
      <c r="A2723" s="223"/>
      <c r="B2723" s="226"/>
      <c r="C2723" s="36"/>
      <c r="D2723" s="36"/>
      <c r="E2723" s="37"/>
      <c r="F2723" s="31" t="s">
        <v>572</v>
      </c>
      <c r="G2723" s="34" t="str">
        <f t="shared" si="48"/>
        <v/>
      </c>
      <c r="H2723" s="35"/>
      <c r="I2723" s="31"/>
      <c r="J2723" s="156">
        <v>0</v>
      </c>
    </row>
    <row r="2724" spans="1:10" ht="15.75" hidden="1" thickBot="1" x14ac:dyDescent="0.3">
      <c r="A2724" s="221" t="s">
        <v>849</v>
      </c>
      <c r="B2724" s="224" t="str">
        <f>INDEX(Orçamentária!A:B,MATCH(Composições!A2724,Orçamentária!A:A,0),2)</f>
        <v>Mestre de Obras (Posto de Trabalho)</v>
      </c>
      <c r="C2724" s="41"/>
      <c r="D2724" s="26" t="str">
        <f>TRIM(INDEX(Orçamentária!C:C,MATCH(Composições!A2724,Orçamentária!A:A,0),1))</f>
        <v>Profissional</v>
      </c>
      <c r="E2724" s="27"/>
      <c r="F2724" s="42" t="s">
        <v>572</v>
      </c>
      <c r="G2724" s="28" t="str">
        <f t="shared" si="48"/>
        <v/>
      </c>
      <c r="H2724" s="29"/>
      <c r="I2724" s="30"/>
      <c r="J2724" s="156">
        <v>0</v>
      </c>
    </row>
    <row r="2725" spans="1:10" ht="15.75" hidden="1" thickBot="1" x14ac:dyDescent="0.3">
      <c r="A2725" s="222"/>
      <c r="B2725" s="225"/>
      <c r="C2725" s="32"/>
      <c r="D2725" s="32"/>
      <c r="E2725" s="33"/>
      <c r="F2725" s="43" t="s">
        <v>572</v>
      </c>
      <c r="G2725" s="34" t="str">
        <f t="shared" si="48"/>
        <v/>
      </c>
      <c r="H2725" s="35"/>
      <c r="I2725" s="31"/>
      <c r="J2725" s="156">
        <v>0</v>
      </c>
    </row>
    <row r="2726" spans="1:10" ht="15.75" hidden="1" thickBot="1" x14ac:dyDescent="0.3">
      <c r="A2726" s="222"/>
      <c r="B2726" s="225"/>
      <c r="C2726" s="36" t="s">
        <v>14</v>
      </c>
      <c r="D2726" s="47" t="s">
        <v>12</v>
      </c>
      <c r="E2726" s="37">
        <f>ROUND(220/(1+112.85%),4)</f>
        <v>103.3592</v>
      </c>
      <c r="F2726" s="31">
        <v>26.248499999999996</v>
      </c>
      <c r="G2726" s="34">
        <f t="shared" si="48"/>
        <v>2713.0239611999996</v>
      </c>
      <c r="H2726" s="39">
        <f>SUM(G2726:G2726)</f>
        <v>2713.0239611999996</v>
      </c>
      <c r="I2726" s="40"/>
      <c r="J2726" s="156">
        <v>0</v>
      </c>
    </row>
    <row r="2727" spans="1:10" ht="15.75" hidden="1" thickBot="1" x14ac:dyDescent="0.3">
      <c r="A2727" s="222"/>
      <c r="B2727" s="225"/>
      <c r="C2727" s="36"/>
      <c r="D2727" s="47"/>
      <c r="E2727" s="37"/>
      <c r="F2727" s="31" t="s">
        <v>572</v>
      </c>
      <c r="G2727" s="34" t="str">
        <f t="shared" si="48"/>
        <v/>
      </c>
      <c r="H2727" s="39"/>
      <c r="I2727" s="40"/>
      <c r="J2727" s="156">
        <v>0</v>
      </c>
    </row>
    <row r="2728" spans="1:10" ht="26.25" hidden="1" thickBot="1" x14ac:dyDescent="0.3">
      <c r="A2728" s="222"/>
      <c r="B2728" s="225"/>
      <c r="C2728" s="48" t="s">
        <v>838</v>
      </c>
      <c r="D2728" s="47"/>
      <c r="E2728" s="37"/>
      <c r="F2728" s="31" t="s">
        <v>572</v>
      </c>
      <c r="G2728" s="34" t="str">
        <f t="shared" si="48"/>
        <v/>
      </c>
      <c r="H2728" s="39"/>
      <c r="I2728" s="40"/>
      <c r="J2728" s="156">
        <v>0</v>
      </c>
    </row>
    <row r="2729" spans="1:10" ht="15.75" hidden="1" thickBot="1" x14ac:dyDescent="0.3">
      <c r="A2729" s="223"/>
      <c r="B2729" s="226"/>
      <c r="C2729" s="36"/>
      <c r="D2729" s="36"/>
      <c r="E2729" s="37"/>
      <c r="F2729" s="31" t="s">
        <v>572</v>
      </c>
      <c r="G2729" s="34" t="str">
        <f t="shared" si="48"/>
        <v/>
      </c>
      <c r="H2729" s="35"/>
      <c r="I2729" s="31"/>
      <c r="J2729" s="156">
        <v>0</v>
      </c>
    </row>
    <row r="2730" spans="1:10" ht="15.75" hidden="1" thickBot="1" x14ac:dyDescent="0.3">
      <c r="A2730" s="221" t="s">
        <v>850</v>
      </c>
      <c r="B2730" s="224" t="str">
        <f>INDEX(Orçamentária!A:B,MATCH(Composições!A2730,Orçamentária!A:A,0),2)</f>
        <v>Oficial de Serviços Gerais</v>
      </c>
      <c r="C2730" s="41"/>
      <c r="D2730" s="26" t="str">
        <f>TRIM(INDEX(Orçamentária!C:C,MATCH(Composições!A2730,Orçamentária!A:A,0),1))</f>
        <v>Profissional</v>
      </c>
      <c r="E2730" s="27"/>
      <c r="F2730" s="42" t="s">
        <v>572</v>
      </c>
      <c r="G2730" s="28" t="str">
        <f t="shared" si="48"/>
        <v/>
      </c>
      <c r="H2730" s="29"/>
      <c r="I2730" s="30"/>
      <c r="J2730" s="156">
        <v>0</v>
      </c>
    </row>
    <row r="2731" spans="1:10" ht="15.75" hidden="1" thickBot="1" x14ac:dyDescent="0.3">
      <c r="A2731" s="222"/>
      <c r="B2731" s="225"/>
      <c r="C2731" s="32"/>
      <c r="D2731" s="32"/>
      <c r="E2731" s="33"/>
      <c r="F2731" s="43" t="s">
        <v>572</v>
      </c>
      <c r="G2731" s="34" t="str">
        <f t="shared" si="48"/>
        <v/>
      </c>
      <c r="H2731" s="35"/>
      <c r="I2731" s="31"/>
      <c r="J2731" s="156">
        <v>0</v>
      </c>
    </row>
    <row r="2732" spans="1:10" ht="15.75" hidden="1" thickBot="1" x14ac:dyDescent="0.3">
      <c r="A2732" s="222"/>
      <c r="B2732" s="225"/>
      <c r="C2732" s="36" t="s">
        <v>768</v>
      </c>
      <c r="D2732" s="47" t="s">
        <v>12</v>
      </c>
      <c r="E2732" s="37">
        <f>ROUND(220/(1+112.85%),4)</f>
        <v>103.3592</v>
      </c>
      <c r="F2732" s="31">
        <v>22.087499999999999</v>
      </c>
      <c r="G2732" s="34">
        <f t="shared" si="48"/>
        <v>2282.9463299999998</v>
      </c>
      <c r="H2732" s="39">
        <f>SUM(G2732:G2732)</f>
        <v>2282.9463299999998</v>
      </c>
      <c r="I2732" s="40"/>
      <c r="J2732" s="156">
        <v>0</v>
      </c>
    </row>
    <row r="2733" spans="1:10" ht="15.75" hidden="1" thickBot="1" x14ac:dyDescent="0.3">
      <c r="A2733" s="222"/>
      <c r="B2733" s="225"/>
      <c r="C2733" s="36"/>
      <c r="D2733" s="47"/>
      <c r="E2733" s="37"/>
      <c r="F2733" s="31" t="s">
        <v>572</v>
      </c>
      <c r="G2733" s="34" t="str">
        <f t="shared" si="48"/>
        <v/>
      </c>
      <c r="H2733" s="39"/>
      <c r="I2733" s="40"/>
      <c r="J2733" s="156">
        <v>0</v>
      </c>
    </row>
    <row r="2734" spans="1:10" ht="26.25" hidden="1" thickBot="1" x14ac:dyDescent="0.3">
      <c r="A2734" s="222"/>
      <c r="B2734" s="225"/>
      <c r="C2734" s="48" t="s">
        <v>838</v>
      </c>
      <c r="D2734" s="47"/>
      <c r="E2734" s="37"/>
      <c r="F2734" s="31" t="s">
        <v>572</v>
      </c>
      <c r="G2734" s="34" t="str">
        <f t="shared" si="48"/>
        <v/>
      </c>
      <c r="H2734" s="39"/>
      <c r="I2734" s="40"/>
      <c r="J2734" s="156">
        <v>0</v>
      </c>
    </row>
    <row r="2735" spans="1:10" ht="15.75" hidden="1" thickBot="1" x14ac:dyDescent="0.3">
      <c r="A2735" s="223"/>
      <c r="B2735" s="226"/>
      <c r="C2735" s="36"/>
      <c r="D2735" s="36"/>
      <c r="E2735" s="37"/>
      <c r="F2735" s="31" t="s">
        <v>572</v>
      </c>
      <c r="G2735" s="34" t="str">
        <f t="shared" si="48"/>
        <v/>
      </c>
      <c r="H2735" s="35"/>
      <c r="I2735" s="31"/>
      <c r="J2735" s="156">
        <v>0</v>
      </c>
    </row>
    <row r="2736" spans="1:10" ht="15.75" hidden="1" thickBot="1" x14ac:dyDescent="0.3">
      <c r="A2736" s="221" t="s">
        <v>851</v>
      </c>
      <c r="B2736" s="224" t="str">
        <f>INDEX(Orçamentária!A:B,MATCH(Composições!A2736,Orçamentária!A:A,0),2)</f>
        <v>Instalação de vidro (comum, temperado, aramado ou laminado) reaproveitado</v>
      </c>
      <c r="C2736" s="41"/>
      <c r="D2736" s="26" t="str">
        <f>TRIM(INDEX(Orçamentária!C:C,MATCH(Composições!A2736,Orçamentária!A:A,0),1))</f>
        <v>m2</v>
      </c>
      <c r="E2736" s="27"/>
      <c r="F2736" s="42" t="s">
        <v>572</v>
      </c>
      <c r="G2736" s="28" t="str">
        <f t="shared" si="48"/>
        <v/>
      </c>
      <c r="H2736" s="29"/>
      <c r="I2736" s="30"/>
      <c r="J2736" s="156">
        <v>0</v>
      </c>
    </row>
    <row r="2737" spans="1:10" ht="15.75" hidden="1" thickBot="1" x14ac:dyDescent="0.3">
      <c r="A2737" s="222"/>
      <c r="B2737" s="225"/>
      <c r="C2737" s="32"/>
      <c r="D2737" s="32"/>
      <c r="E2737" s="33"/>
      <c r="F2737" s="43" t="s">
        <v>572</v>
      </c>
      <c r="G2737" s="34" t="str">
        <f t="shared" si="48"/>
        <v/>
      </c>
      <c r="H2737" s="35"/>
      <c r="I2737" s="31"/>
      <c r="J2737" s="156">
        <v>0</v>
      </c>
    </row>
    <row r="2738" spans="1:10" ht="15.75" hidden="1" thickBot="1" x14ac:dyDescent="0.3">
      <c r="A2738" s="222"/>
      <c r="B2738" s="225"/>
      <c r="C2738" s="36" t="s">
        <v>68</v>
      </c>
      <c r="D2738" s="47" t="s">
        <v>12</v>
      </c>
      <c r="E2738" s="37">
        <v>1</v>
      </c>
      <c r="F2738" s="31">
        <v>20.539000000000001</v>
      </c>
      <c r="G2738" s="34">
        <f t="shared" si="48"/>
        <v>20.539000000000001</v>
      </c>
      <c r="H2738" s="39">
        <f>SUM(G2738:G2740)</f>
        <v>36.835300000000004</v>
      </c>
      <c r="I2738" s="40"/>
      <c r="J2738" s="156">
        <v>0</v>
      </c>
    </row>
    <row r="2739" spans="1:10" ht="15.75" hidden="1" thickBot="1" x14ac:dyDescent="0.3">
      <c r="A2739" s="222"/>
      <c r="B2739" s="225"/>
      <c r="C2739" s="36" t="s">
        <v>23</v>
      </c>
      <c r="D2739" s="47" t="s">
        <v>12</v>
      </c>
      <c r="E2739" s="37">
        <v>0.2</v>
      </c>
      <c r="F2739" s="31">
        <v>16.311500000000002</v>
      </c>
      <c r="G2739" s="34">
        <f t="shared" si="48"/>
        <v>3.2623000000000006</v>
      </c>
      <c r="H2739" s="35"/>
      <c r="I2739" s="31"/>
      <c r="J2739" s="156">
        <v>0</v>
      </c>
    </row>
    <row r="2740" spans="1:10" ht="15.75" hidden="1" thickBot="1" x14ac:dyDescent="0.3">
      <c r="A2740" s="222"/>
      <c r="B2740" s="225"/>
      <c r="C2740" s="36" t="s">
        <v>309</v>
      </c>
      <c r="D2740" s="36" t="s">
        <v>852</v>
      </c>
      <c r="E2740" s="37">
        <v>2</v>
      </c>
      <c r="F2740" s="34">
        <v>6.5170000000000003</v>
      </c>
      <c r="G2740" s="34">
        <f t="shared" si="48"/>
        <v>13.034000000000001</v>
      </c>
      <c r="H2740" s="35"/>
      <c r="I2740" s="31"/>
      <c r="J2740" s="156">
        <v>0</v>
      </c>
    </row>
    <row r="2741" spans="1:10" ht="15.75" hidden="1" thickBot="1" x14ac:dyDescent="0.3">
      <c r="A2741" s="223"/>
      <c r="B2741" s="226"/>
      <c r="C2741" s="36"/>
      <c r="D2741" s="36"/>
      <c r="E2741" s="37"/>
      <c r="F2741" s="31" t="s">
        <v>572</v>
      </c>
      <c r="G2741" s="34" t="str">
        <f t="shared" si="48"/>
        <v/>
      </c>
      <c r="H2741" s="35"/>
      <c r="I2741" s="31"/>
      <c r="J2741" s="156">
        <v>0</v>
      </c>
    </row>
    <row r="2742" spans="1:10" ht="15.75" hidden="1" thickBot="1" x14ac:dyDescent="0.3">
      <c r="A2742" s="221" t="s">
        <v>853</v>
      </c>
      <c r="B2742" s="224" t="str">
        <f>INDEX(Orçamentária!A:B,MATCH(Composições!A2742,Orçamentária!A:A,0),2)</f>
        <v>Vidro temperado incolor com 8mm de espessura</v>
      </c>
      <c r="C2742" s="41"/>
      <c r="D2742" s="26" t="str">
        <f>TRIM(INDEX(Orçamentária!C:C,MATCH(Composições!A2742,Orçamentária!A:A,0),1))</f>
        <v>m2</v>
      </c>
      <c r="E2742" s="27"/>
      <c r="F2742" s="42" t="s">
        <v>572</v>
      </c>
      <c r="G2742" s="28" t="str">
        <f t="shared" si="48"/>
        <v/>
      </c>
      <c r="H2742" s="29"/>
      <c r="I2742" s="30"/>
      <c r="J2742" s="156">
        <v>0</v>
      </c>
    </row>
    <row r="2743" spans="1:10" ht="15.75" hidden="1" thickBot="1" x14ac:dyDescent="0.3">
      <c r="A2743" s="222"/>
      <c r="B2743" s="225"/>
      <c r="C2743" s="32"/>
      <c r="D2743" s="32"/>
      <c r="E2743" s="33"/>
      <c r="F2743" s="43" t="s">
        <v>572</v>
      </c>
      <c r="G2743" s="34" t="str">
        <f t="shared" si="48"/>
        <v/>
      </c>
      <c r="H2743" s="35"/>
      <c r="I2743" s="31"/>
      <c r="J2743" s="156">
        <v>0</v>
      </c>
    </row>
    <row r="2744" spans="1:10" ht="15.75" hidden="1" thickBot="1" x14ac:dyDescent="0.3">
      <c r="A2744" s="222"/>
      <c r="B2744" s="225"/>
      <c r="C2744" s="36" t="s">
        <v>68</v>
      </c>
      <c r="D2744" s="36" t="s">
        <v>12</v>
      </c>
      <c r="E2744" s="37">
        <v>0.5</v>
      </c>
      <c r="F2744" s="34">
        <v>20.539000000000001</v>
      </c>
      <c r="G2744" s="34">
        <f t="shared" si="48"/>
        <v>10.269500000000001</v>
      </c>
      <c r="H2744" s="39">
        <f>SUM(G2744:G2747)</f>
        <v>160.12725</v>
      </c>
      <c r="I2744" s="40"/>
      <c r="J2744" s="156">
        <v>0</v>
      </c>
    </row>
    <row r="2745" spans="1:10" ht="15.75" hidden="1" thickBot="1" x14ac:dyDescent="0.3">
      <c r="A2745" s="222"/>
      <c r="B2745" s="225"/>
      <c r="C2745" s="36" t="s">
        <v>23</v>
      </c>
      <c r="D2745" s="36" t="s">
        <v>12</v>
      </c>
      <c r="E2745" s="37">
        <v>0.5</v>
      </c>
      <c r="F2745" s="34">
        <v>16.311500000000002</v>
      </c>
      <c r="G2745" s="34">
        <f t="shared" si="48"/>
        <v>8.1557500000000012</v>
      </c>
      <c r="H2745" s="35"/>
      <c r="I2745" s="31"/>
      <c r="J2745" s="156">
        <v>0</v>
      </c>
    </row>
    <row r="2746" spans="1:10" ht="15.75" hidden="1" thickBot="1" x14ac:dyDescent="0.3">
      <c r="A2746" s="222"/>
      <c r="B2746" s="225"/>
      <c r="C2746" s="36" t="s">
        <v>309</v>
      </c>
      <c r="D2746" s="36" t="s">
        <v>852</v>
      </c>
      <c r="E2746" s="37">
        <v>1.5</v>
      </c>
      <c r="F2746" s="31">
        <v>6.5170000000000003</v>
      </c>
      <c r="G2746" s="34">
        <f t="shared" si="48"/>
        <v>9.775500000000001</v>
      </c>
      <c r="H2746" s="35"/>
      <c r="I2746" s="31"/>
      <c r="J2746" s="156">
        <v>0</v>
      </c>
    </row>
    <row r="2747" spans="1:10" ht="15.75" hidden="1" thickBot="1" x14ac:dyDescent="0.3">
      <c r="A2747" s="222"/>
      <c r="B2747" s="225"/>
      <c r="C2747" s="36" t="s">
        <v>856</v>
      </c>
      <c r="D2747" s="47" t="s">
        <v>96</v>
      </c>
      <c r="E2747" s="37">
        <v>1</v>
      </c>
      <c r="F2747" s="31">
        <v>131.9265</v>
      </c>
      <c r="G2747" s="34">
        <f t="shared" si="48"/>
        <v>131.9265</v>
      </c>
      <c r="H2747" s="35"/>
      <c r="I2747" s="31"/>
      <c r="J2747" s="156">
        <v>0</v>
      </c>
    </row>
    <row r="2748" spans="1:10" ht="15.75" hidden="1" thickBot="1" x14ac:dyDescent="0.3">
      <c r="A2748" s="223"/>
      <c r="B2748" s="226"/>
      <c r="C2748" s="36"/>
      <c r="D2748" s="36"/>
      <c r="E2748" s="37"/>
      <c r="F2748" s="31" t="s">
        <v>572</v>
      </c>
      <c r="G2748" s="34" t="str">
        <f t="shared" si="48"/>
        <v/>
      </c>
      <c r="H2748" s="35"/>
      <c r="I2748" s="31"/>
      <c r="J2748" s="156">
        <v>0</v>
      </c>
    </row>
    <row r="2749" spans="1:10" ht="15.75" hidden="1" thickBot="1" x14ac:dyDescent="0.3">
      <c r="A2749" s="221" t="s">
        <v>855</v>
      </c>
      <c r="B2749" s="224" t="str">
        <f>INDEX(Orçamentária!A:B,MATCH(Composições!A2749,Orçamentária!A:A,0),2)</f>
        <v>Vidro liso comum transparente 5mm</v>
      </c>
      <c r="C2749" s="41"/>
      <c r="D2749" s="26" t="str">
        <f>TRIM(INDEX(Orçamentária!C:C,MATCH(Composições!A2749,Orçamentária!A:A,0),1))</f>
        <v>m2</v>
      </c>
      <c r="E2749" s="27"/>
      <c r="F2749" s="42" t="s">
        <v>572</v>
      </c>
      <c r="G2749" s="28" t="str">
        <f t="shared" si="48"/>
        <v/>
      </c>
      <c r="H2749" s="29"/>
      <c r="I2749" s="30"/>
      <c r="J2749" s="156">
        <v>0</v>
      </c>
    </row>
    <row r="2750" spans="1:10" ht="15.75" hidden="1" thickBot="1" x14ac:dyDescent="0.3">
      <c r="A2750" s="222"/>
      <c r="B2750" s="225"/>
      <c r="C2750" s="32"/>
      <c r="D2750" s="32"/>
      <c r="E2750" s="33"/>
      <c r="F2750" s="43" t="s">
        <v>572</v>
      </c>
      <c r="G2750" s="34" t="str">
        <f t="shared" si="48"/>
        <v/>
      </c>
      <c r="H2750" s="35"/>
      <c r="I2750" s="31"/>
      <c r="J2750" s="156">
        <v>0</v>
      </c>
    </row>
    <row r="2751" spans="1:10" ht="15.75" hidden="1" thickBot="1" x14ac:dyDescent="0.3">
      <c r="A2751" s="222"/>
      <c r="B2751" s="225"/>
      <c r="C2751" s="36" t="s">
        <v>68</v>
      </c>
      <c r="D2751" s="47" t="s">
        <v>12</v>
      </c>
      <c r="E2751" s="37">
        <v>1</v>
      </c>
      <c r="F2751" s="34">
        <v>20.539000000000001</v>
      </c>
      <c r="G2751" s="34">
        <f t="shared" si="48"/>
        <v>20.539000000000001</v>
      </c>
      <c r="H2751" s="39">
        <f>SUM(G2751:G2754)</f>
        <v>156.53530000000001</v>
      </c>
      <c r="I2751" s="40"/>
      <c r="J2751" s="156">
        <v>0</v>
      </c>
    </row>
    <row r="2752" spans="1:10" ht="15.75" hidden="1" thickBot="1" x14ac:dyDescent="0.3">
      <c r="A2752" s="222"/>
      <c r="B2752" s="225"/>
      <c r="C2752" s="36" t="s">
        <v>23</v>
      </c>
      <c r="D2752" s="47" t="s">
        <v>12</v>
      </c>
      <c r="E2752" s="37">
        <v>0.2</v>
      </c>
      <c r="F2752" s="34">
        <v>16.311500000000002</v>
      </c>
      <c r="G2752" s="34">
        <f t="shared" si="48"/>
        <v>3.2623000000000006</v>
      </c>
      <c r="H2752" s="35"/>
      <c r="I2752" s="31"/>
      <c r="J2752" s="156">
        <v>0</v>
      </c>
    </row>
    <row r="2753" spans="1:10" ht="15.75" hidden="1" thickBot="1" x14ac:dyDescent="0.3">
      <c r="A2753" s="222"/>
      <c r="B2753" s="225"/>
      <c r="C2753" s="36" t="s">
        <v>309</v>
      </c>
      <c r="D2753" s="47" t="s">
        <v>852</v>
      </c>
      <c r="E2753" s="37">
        <v>2</v>
      </c>
      <c r="F2753" s="31">
        <v>6.5170000000000003</v>
      </c>
      <c r="G2753" s="34">
        <f t="shared" si="48"/>
        <v>13.034000000000001</v>
      </c>
      <c r="H2753" s="35"/>
      <c r="I2753" s="31"/>
      <c r="J2753" s="156">
        <v>0</v>
      </c>
    </row>
    <row r="2754" spans="1:10" ht="15.75" hidden="1" thickBot="1" x14ac:dyDescent="0.3">
      <c r="A2754" s="222"/>
      <c r="B2754" s="225"/>
      <c r="C2754" s="36" t="s">
        <v>854</v>
      </c>
      <c r="D2754" s="36" t="s">
        <v>96</v>
      </c>
      <c r="E2754" s="37">
        <v>1</v>
      </c>
      <c r="F2754" s="31">
        <v>119.69999999999999</v>
      </c>
      <c r="G2754" s="34">
        <f t="shared" si="48"/>
        <v>119.69999999999999</v>
      </c>
      <c r="H2754" s="35"/>
      <c r="I2754" s="31"/>
      <c r="J2754" s="156">
        <v>0</v>
      </c>
    </row>
    <row r="2755" spans="1:10" ht="15.75" hidden="1" thickBot="1" x14ac:dyDescent="0.3">
      <c r="A2755" s="223"/>
      <c r="B2755" s="226"/>
      <c r="C2755" s="36"/>
      <c r="D2755" s="36"/>
      <c r="E2755" s="37"/>
      <c r="F2755" s="31" t="s">
        <v>572</v>
      </c>
      <c r="G2755" s="34" t="str">
        <f t="shared" si="48"/>
        <v/>
      </c>
      <c r="H2755" s="35"/>
      <c r="I2755" s="31"/>
      <c r="J2755" s="156">
        <v>0</v>
      </c>
    </row>
    <row r="2756" spans="1:10" ht="15.75" hidden="1" thickBot="1" x14ac:dyDescent="0.3">
      <c r="A2756" s="221" t="s">
        <v>2872</v>
      </c>
      <c r="B2756" s="224" t="str">
        <f>INDEX(Orçamentária!A:B,MATCH(Composições!A2756,Orçamentária!A:A,0),2)</f>
        <v>Corte em vidro ou espelho reaproveitado</v>
      </c>
      <c r="C2756" s="41"/>
      <c r="D2756" s="26" t="str">
        <f>TRIM(INDEX(Orçamentária!C:C,MATCH(Composições!A2756,Orçamentária!A:A,0),1))</f>
        <v>m</v>
      </c>
      <c r="E2756" s="27"/>
      <c r="F2756" s="42" t="s">
        <v>572</v>
      </c>
      <c r="G2756" s="28" t="str">
        <f t="shared" si="48"/>
        <v/>
      </c>
      <c r="H2756" s="29"/>
      <c r="I2756" s="30"/>
      <c r="J2756" s="156">
        <v>0</v>
      </c>
    </row>
    <row r="2757" spans="1:10" ht="15.75" hidden="1" thickBot="1" x14ac:dyDescent="0.3">
      <c r="A2757" s="222"/>
      <c r="B2757" s="225"/>
      <c r="C2757" s="32"/>
      <c r="D2757" s="32"/>
      <c r="E2757" s="33"/>
      <c r="F2757" s="43" t="s">
        <v>572</v>
      </c>
      <c r="G2757" s="34" t="str">
        <f t="shared" si="48"/>
        <v/>
      </c>
      <c r="H2757" s="35"/>
      <c r="I2757" s="31"/>
      <c r="J2757" s="156">
        <v>0</v>
      </c>
    </row>
    <row r="2758" spans="1:10" ht="15.75" hidden="1" thickBot="1" x14ac:dyDescent="0.3">
      <c r="A2758" s="222"/>
      <c r="B2758" s="225"/>
      <c r="C2758" s="36" t="s">
        <v>68</v>
      </c>
      <c r="D2758" s="47" t="s">
        <v>12</v>
      </c>
      <c r="E2758" s="37">
        <v>0.5</v>
      </c>
      <c r="F2758" s="31">
        <v>20.539000000000001</v>
      </c>
      <c r="G2758" s="34">
        <f t="shared" si="48"/>
        <v>10.269500000000001</v>
      </c>
      <c r="H2758" s="39">
        <f>SUM(G2758:G2759)</f>
        <v>18.425250000000002</v>
      </c>
      <c r="I2758" s="40"/>
      <c r="J2758" s="156">
        <v>0</v>
      </c>
    </row>
    <row r="2759" spans="1:10" ht="15.75" hidden="1" thickBot="1" x14ac:dyDescent="0.3">
      <c r="A2759" s="222"/>
      <c r="B2759" s="225"/>
      <c r="C2759" s="36" t="s">
        <v>23</v>
      </c>
      <c r="D2759" s="47" t="s">
        <v>12</v>
      </c>
      <c r="E2759" s="37">
        <v>0.5</v>
      </c>
      <c r="F2759" s="31">
        <v>16.311500000000002</v>
      </c>
      <c r="G2759" s="34">
        <f t="shared" si="48"/>
        <v>8.1557500000000012</v>
      </c>
      <c r="H2759" s="35"/>
      <c r="I2759" s="31"/>
      <c r="J2759" s="156">
        <v>0</v>
      </c>
    </row>
    <row r="2760" spans="1:10" ht="15.75" hidden="1" thickBot="1" x14ac:dyDescent="0.3">
      <c r="A2760" s="223"/>
      <c r="B2760" s="226"/>
      <c r="C2760" s="36"/>
      <c r="D2760" s="36"/>
      <c r="E2760" s="37"/>
      <c r="F2760" s="31" t="s">
        <v>572</v>
      </c>
      <c r="G2760" s="34" t="str">
        <f t="shared" si="48"/>
        <v/>
      </c>
      <c r="H2760" s="35"/>
      <c r="I2760" s="31"/>
      <c r="J2760" s="156">
        <v>0</v>
      </c>
    </row>
    <row r="2761" spans="1:10" ht="15.75" hidden="1" thickBot="1" x14ac:dyDescent="0.3">
      <c r="A2761" s="221" t="s">
        <v>2874</v>
      </c>
      <c r="B2761" s="224" t="str">
        <f>INDEX(Orçamentária!A:B,MATCH(Composições!A2761,Orçamentária!A:A,0),2)</f>
        <v>Lapidação de vidro / espelho reaproveitado</v>
      </c>
      <c r="C2761" s="41"/>
      <c r="D2761" s="26" t="str">
        <f>TRIM(INDEX(Orçamentária!C:C,MATCH(Composições!A2761,Orçamentária!A:A,0),1))</f>
        <v>m</v>
      </c>
      <c r="E2761" s="27"/>
      <c r="F2761" s="42" t="s">
        <v>572</v>
      </c>
      <c r="G2761" s="28" t="str">
        <f t="shared" si="48"/>
        <v/>
      </c>
      <c r="H2761" s="29"/>
      <c r="I2761" s="30"/>
      <c r="J2761" s="156">
        <v>0</v>
      </c>
    </row>
    <row r="2762" spans="1:10" ht="15.75" hidden="1" thickBot="1" x14ac:dyDescent="0.3">
      <c r="A2762" s="222"/>
      <c r="B2762" s="225"/>
      <c r="C2762" s="32"/>
      <c r="D2762" s="32"/>
      <c r="E2762" s="33"/>
      <c r="F2762" s="43" t="s">
        <v>572</v>
      </c>
      <c r="G2762" s="34" t="str">
        <f t="shared" si="48"/>
        <v/>
      </c>
      <c r="H2762" s="35"/>
      <c r="I2762" s="31"/>
      <c r="J2762" s="156">
        <v>0</v>
      </c>
    </row>
    <row r="2763" spans="1:10" ht="15.75" hidden="1" thickBot="1" x14ac:dyDescent="0.3">
      <c r="A2763" s="222"/>
      <c r="B2763" s="225"/>
      <c r="C2763" s="36" t="s">
        <v>68</v>
      </c>
      <c r="D2763" s="47" t="s">
        <v>12</v>
      </c>
      <c r="E2763" s="37">
        <v>0.75</v>
      </c>
      <c r="F2763" s="31">
        <v>20.539000000000001</v>
      </c>
      <c r="G2763" s="34">
        <f t="shared" si="48"/>
        <v>15.404250000000001</v>
      </c>
      <c r="H2763" s="39">
        <f>SUM(G2763:G2764)</f>
        <v>27.637875000000001</v>
      </c>
      <c r="I2763" s="40"/>
      <c r="J2763" s="156">
        <v>0</v>
      </c>
    </row>
    <row r="2764" spans="1:10" ht="15.75" hidden="1" thickBot="1" x14ac:dyDescent="0.3">
      <c r="A2764" s="222"/>
      <c r="B2764" s="225"/>
      <c r="C2764" s="36" t="s">
        <v>23</v>
      </c>
      <c r="D2764" s="47" t="s">
        <v>12</v>
      </c>
      <c r="E2764" s="37">
        <v>0.75</v>
      </c>
      <c r="F2764" s="31">
        <v>16.311500000000002</v>
      </c>
      <c r="G2764" s="34">
        <f t="shared" si="48"/>
        <v>12.233625000000002</v>
      </c>
      <c r="H2764" s="35"/>
      <c r="I2764" s="31"/>
      <c r="J2764" s="156">
        <v>0</v>
      </c>
    </row>
    <row r="2765" spans="1:10" ht="15.75" hidden="1" thickBot="1" x14ac:dyDescent="0.3">
      <c r="A2765" s="223"/>
      <c r="B2765" s="226"/>
      <c r="C2765" s="36"/>
      <c r="D2765" s="36"/>
      <c r="E2765" s="37"/>
      <c r="F2765" s="31" t="s">
        <v>572</v>
      </c>
      <c r="G2765" s="34" t="str">
        <f t="shared" si="48"/>
        <v/>
      </c>
      <c r="H2765" s="35"/>
      <c r="I2765" s="31"/>
      <c r="J2765" s="156">
        <v>0</v>
      </c>
    </row>
    <row r="2766" spans="1:10" ht="15.75" hidden="1" thickBot="1" x14ac:dyDescent="0.3">
      <c r="A2766" s="221" t="s">
        <v>857</v>
      </c>
      <c r="B2766" s="224" t="str">
        <f>INDEX(Orçamentária!A:B,MATCH(Composições!A2766,Orçamentária!A:A,0),2)</f>
        <v>Vidro temperado incolor com 10 mm de espessura</v>
      </c>
      <c r="C2766" s="41"/>
      <c r="D2766" s="26" t="str">
        <f>TRIM(INDEX(Orçamentária!C:C,MATCH(Composições!A2766,Orçamentária!A:A,0),1))</f>
        <v>m2</v>
      </c>
      <c r="E2766" s="27"/>
      <c r="F2766" s="42" t="s">
        <v>572</v>
      </c>
      <c r="G2766" s="28" t="str">
        <f t="shared" si="48"/>
        <v/>
      </c>
      <c r="H2766" s="29"/>
      <c r="I2766" s="30"/>
      <c r="J2766" s="156">
        <v>0</v>
      </c>
    </row>
    <row r="2767" spans="1:10" ht="15.75" hidden="1" thickBot="1" x14ac:dyDescent="0.3">
      <c r="A2767" s="222"/>
      <c r="B2767" s="225"/>
      <c r="C2767" s="32"/>
      <c r="D2767" s="32"/>
      <c r="E2767" s="33"/>
      <c r="F2767" s="43" t="s">
        <v>572</v>
      </c>
      <c r="G2767" s="34" t="str">
        <f t="shared" si="48"/>
        <v/>
      </c>
      <c r="H2767" s="35"/>
      <c r="I2767" s="31"/>
      <c r="J2767" s="156">
        <v>0</v>
      </c>
    </row>
    <row r="2768" spans="1:10" ht="15.75" hidden="1" thickBot="1" x14ac:dyDescent="0.3">
      <c r="A2768" s="222"/>
      <c r="B2768" s="225"/>
      <c r="C2768" s="36" t="s">
        <v>68</v>
      </c>
      <c r="D2768" s="36" t="s">
        <v>12</v>
      </c>
      <c r="E2768" s="37">
        <v>0.5</v>
      </c>
      <c r="F2768" s="34">
        <v>20.539000000000001</v>
      </c>
      <c r="G2768" s="34">
        <f t="shared" si="48"/>
        <v>10.269500000000001</v>
      </c>
      <c r="H2768" s="39">
        <f>SUM(G2768:G2771)</f>
        <v>199.46674999999999</v>
      </c>
      <c r="I2768" s="40"/>
      <c r="J2768" s="156">
        <v>0</v>
      </c>
    </row>
    <row r="2769" spans="1:10" ht="15.75" hidden="1" thickBot="1" x14ac:dyDescent="0.3">
      <c r="A2769" s="222"/>
      <c r="B2769" s="225"/>
      <c r="C2769" s="36" t="s">
        <v>23</v>
      </c>
      <c r="D2769" s="36" t="s">
        <v>12</v>
      </c>
      <c r="E2769" s="37">
        <v>0.5</v>
      </c>
      <c r="F2769" s="34">
        <v>16.311500000000002</v>
      </c>
      <c r="G2769" s="34">
        <f t="shared" si="48"/>
        <v>8.1557500000000012</v>
      </c>
      <c r="H2769" s="35"/>
      <c r="I2769" s="31"/>
      <c r="J2769" s="156">
        <v>0</v>
      </c>
    </row>
    <row r="2770" spans="1:10" ht="15.75" hidden="1" thickBot="1" x14ac:dyDescent="0.3">
      <c r="A2770" s="222"/>
      <c r="B2770" s="225"/>
      <c r="C2770" s="36" t="s">
        <v>309</v>
      </c>
      <c r="D2770" s="36" t="s">
        <v>852</v>
      </c>
      <c r="E2770" s="37">
        <v>1.5</v>
      </c>
      <c r="F2770" s="31">
        <v>6.5170000000000003</v>
      </c>
      <c r="G2770" s="34">
        <f t="shared" ref="G2770:G2833" si="49">IF(ISNUMBER(F2770),E2770*F2770,"")</f>
        <v>9.775500000000001</v>
      </c>
      <c r="H2770" s="35"/>
      <c r="I2770" s="31"/>
      <c r="J2770" s="156">
        <v>0</v>
      </c>
    </row>
    <row r="2771" spans="1:10" ht="15.75" hidden="1" thickBot="1" x14ac:dyDescent="0.3">
      <c r="A2771" s="222"/>
      <c r="B2771" s="225"/>
      <c r="C2771" s="36" t="s">
        <v>858</v>
      </c>
      <c r="D2771" s="36" t="s">
        <v>96</v>
      </c>
      <c r="E2771" s="37">
        <v>1</v>
      </c>
      <c r="F2771" s="31">
        <v>171.26599999999999</v>
      </c>
      <c r="G2771" s="34">
        <f t="shared" si="49"/>
        <v>171.26599999999999</v>
      </c>
      <c r="H2771" s="35"/>
      <c r="I2771" s="31"/>
      <c r="J2771" s="156">
        <v>0</v>
      </c>
    </row>
    <row r="2772" spans="1:10" ht="15.75" hidden="1" thickBot="1" x14ac:dyDescent="0.3">
      <c r="A2772" s="223"/>
      <c r="B2772" s="226"/>
      <c r="C2772" s="36"/>
      <c r="D2772" s="36"/>
      <c r="E2772" s="37"/>
      <c r="F2772" s="31" t="s">
        <v>572</v>
      </c>
      <c r="G2772" s="34" t="str">
        <f t="shared" si="49"/>
        <v/>
      </c>
      <c r="H2772" s="35"/>
      <c r="I2772" s="31"/>
      <c r="J2772" s="156">
        <v>0</v>
      </c>
    </row>
    <row r="2773" spans="1:10" ht="15.75" hidden="1" thickBot="1" x14ac:dyDescent="0.3">
      <c r="A2773" s="221" t="s">
        <v>859</v>
      </c>
      <c r="B2773" s="224" t="str">
        <f>INDEX(Orçamentária!A:B,MATCH(Composições!A2773,Orçamentária!A:A,0),2)</f>
        <v>Bucha para pivô de dobradiça para vidro temperado</v>
      </c>
      <c r="C2773" s="41"/>
      <c r="D2773" s="26" t="str">
        <f>TRIM(INDEX(Orçamentária!C:C,MATCH(Composições!A2773,Orçamentária!A:A,0),1))</f>
        <v>un</v>
      </c>
      <c r="E2773" s="27"/>
      <c r="F2773" s="42" t="s">
        <v>572</v>
      </c>
      <c r="G2773" s="28" t="str">
        <f t="shared" si="49"/>
        <v/>
      </c>
      <c r="H2773" s="29"/>
      <c r="I2773" s="30"/>
      <c r="J2773" s="156">
        <v>0</v>
      </c>
    </row>
    <row r="2774" spans="1:10" ht="15.75" hidden="1" thickBot="1" x14ac:dyDescent="0.3">
      <c r="A2774" s="222"/>
      <c r="B2774" s="225"/>
      <c r="C2774" s="32"/>
      <c r="D2774" s="32"/>
      <c r="E2774" s="33"/>
      <c r="F2774" s="43" t="s">
        <v>572</v>
      </c>
      <c r="G2774" s="34" t="str">
        <f t="shared" si="49"/>
        <v/>
      </c>
      <c r="H2774" s="35"/>
      <c r="I2774" s="31"/>
      <c r="J2774" s="156">
        <v>0</v>
      </c>
    </row>
    <row r="2775" spans="1:10" ht="15.75" hidden="1" thickBot="1" x14ac:dyDescent="0.3">
      <c r="A2775" s="222"/>
      <c r="B2775" s="225"/>
      <c r="C2775" s="36" t="s">
        <v>68</v>
      </c>
      <c r="D2775" s="36" t="s">
        <v>12</v>
      </c>
      <c r="E2775" s="37">
        <v>0.15</v>
      </c>
      <c r="F2775" s="34">
        <v>20.539000000000001</v>
      </c>
      <c r="G2775" s="34">
        <f t="shared" si="49"/>
        <v>3.0808500000000003</v>
      </c>
      <c r="H2775" s="39">
        <f>SUM(G2775:G2776)</f>
        <v>4.03085</v>
      </c>
      <c r="I2775" s="40"/>
      <c r="J2775" s="156">
        <v>0</v>
      </c>
    </row>
    <row r="2776" spans="1:10" ht="26.25" hidden="1" thickBot="1" x14ac:dyDescent="0.3">
      <c r="A2776" s="222"/>
      <c r="B2776" s="225"/>
      <c r="C2776" s="36" t="s">
        <v>860</v>
      </c>
      <c r="D2776" s="36" t="s">
        <v>20</v>
      </c>
      <c r="E2776" s="37">
        <v>1</v>
      </c>
      <c r="F2776" s="31">
        <v>0.95</v>
      </c>
      <c r="G2776" s="34">
        <f t="shared" si="49"/>
        <v>0.95</v>
      </c>
      <c r="H2776" s="35"/>
      <c r="I2776" s="31"/>
      <c r="J2776" s="156">
        <v>0</v>
      </c>
    </row>
    <row r="2777" spans="1:10" ht="15.75" hidden="1" thickBot="1" x14ac:dyDescent="0.3">
      <c r="A2777" s="223"/>
      <c r="B2777" s="226"/>
      <c r="C2777" s="36"/>
      <c r="D2777" s="36"/>
      <c r="E2777" s="37"/>
      <c r="F2777" s="31" t="s">
        <v>572</v>
      </c>
      <c r="G2777" s="34" t="str">
        <f t="shared" si="49"/>
        <v/>
      </c>
      <c r="H2777" s="35"/>
      <c r="I2777" s="31"/>
      <c r="J2777" s="156">
        <v>0</v>
      </c>
    </row>
    <row r="2778" spans="1:10" ht="15.75" hidden="1" thickBot="1" x14ac:dyDescent="0.3">
      <c r="A2778" s="221" t="s">
        <v>861</v>
      </c>
      <c r="B2778" s="224" t="str">
        <f>INDEX(Orçamentária!A:B,MATCH(Composições!A2778,Orçamentária!A:A,0),2)</f>
        <v>Suporte para bandeira de vidro temperado, com ponto de giro para dobradiça</v>
      </c>
      <c r="C2778" s="41"/>
      <c r="D2778" s="26" t="str">
        <f>TRIM(INDEX(Orçamentária!C:C,MATCH(Composições!A2778,Orçamentária!A:A,0),1))</f>
        <v>un</v>
      </c>
      <c r="E2778" s="27"/>
      <c r="F2778" s="42" t="s">
        <v>572</v>
      </c>
      <c r="G2778" s="28" t="str">
        <f t="shared" si="49"/>
        <v/>
      </c>
      <c r="H2778" s="29"/>
      <c r="I2778" s="30"/>
      <c r="J2778" s="156">
        <v>0</v>
      </c>
    </row>
    <row r="2779" spans="1:10" ht="15.75" hidden="1" thickBot="1" x14ac:dyDescent="0.3">
      <c r="A2779" s="222"/>
      <c r="B2779" s="225"/>
      <c r="C2779" s="32"/>
      <c r="D2779" s="32"/>
      <c r="E2779" s="33"/>
      <c r="F2779" s="43" t="s">
        <v>572</v>
      </c>
      <c r="G2779" s="34" t="str">
        <f t="shared" si="49"/>
        <v/>
      </c>
      <c r="H2779" s="35"/>
      <c r="I2779" s="31"/>
      <c r="J2779" s="156">
        <v>0</v>
      </c>
    </row>
    <row r="2780" spans="1:10" ht="15.75" hidden="1" thickBot="1" x14ac:dyDescent="0.3">
      <c r="A2780" s="222"/>
      <c r="B2780" s="225"/>
      <c r="C2780" s="36" t="s">
        <v>68</v>
      </c>
      <c r="D2780" s="47" t="s">
        <v>12</v>
      </c>
      <c r="E2780" s="37">
        <v>0.3</v>
      </c>
      <c r="F2780" s="34">
        <v>20.539000000000001</v>
      </c>
      <c r="G2780" s="34">
        <f t="shared" si="49"/>
        <v>6.1617000000000006</v>
      </c>
      <c r="H2780" s="39">
        <f>SUM(G2780:G2781)</f>
        <v>7.1117000000000008</v>
      </c>
      <c r="I2780" s="40"/>
      <c r="J2780" s="156">
        <v>0</v>
      </c>
    </row>
    <row r="2781" spans="1:10" ht="26.25" hidden="1" thickBot="1" x14ac:dyDescent="0.3">
      <c r="A2781" s="222"/>
      <c r="B2781" s="225"/>
      <c r="C2781" s="36" t="s">
        <v>862</v>
      </c>
      <c r="D2781" s="47" t="s">
        <v>20</v>
      </c>
      <c r="E2781" s="37">
        <v>1</v>
      </c>
      <c r="F2781" s="31">
        <v>0.95</v>
      </c>
      <c r="G2781" s="34">
        <f t="shared" si="49"/>
        <v>0.95</v>
      </c>
      <c r="H2781" s="35"/>
      <c r="I2781" s="31"/>
      <c r="J2781" s="156">
        <v>0</v>
      </c>
    </row>
    <row r="2782" spans="1:10" ht="15.75" hidden="1" thickBot="1" x14ac:dyDescent="0.3">
      <c r="A2782" s="223"/>
      <c r="B2782" s="226"/>
      <c r="C2782" s="36"/>
      <c r="D2782" s="36"/>
      <c r="E2782" s="37"/>
      <c r="F2782" s="31" t="s">
        <v>572</v>
      </c>
      <c r="G2782" s="34" t="str">
        <f t="shared" si="49"/>
        <v/>
      </c>
      <c r="H2782" s="35"/>
      <c r="I2782" s="31"/>
      <c r="J2782" s="156">
        <v>0</v>
      </c>
    </row>
    <row r="2783" spans="1:10" ht="15.75" hidden="1" thickBot="1" x14ac:dyDescent="0.3">
      <c r="A2783" s="221" t="s">
        <v>863</v>
      </c>
      <c r="B2783" s="224" t="str">
        <f>INDEX(Orçamentária!A:B,MATCH(Composições!A2783,Orçamentária!A:A,0),2)</f>
        <v>Suporte de canto, simples, para vidro temperado</v>
      </c>
      <c r="C2783" s="41"/>
      <c r="D2783" s="26" t="str">
        <f>TRIM(INDEX(Orçamentária!C:C,MATCH(Composições!A2783,Orçamentária!A:A,0),1))</f>
        <v>un</v>
      </c>
      <c r="E2783" s="27"/>
      <c r="F2783" s="42" t="s">
        <v>572</v>
      </c>
      <c r="G2783" s="28" t="str">
        <f t="shared" si="49"/>
        <v/>
      </c>
      <c r="H2783" s="29"/>
      <c r="I2783" s="30"/>
      <c r="J2783" s="156">
        <v>0</v>
      </c>
    </row>
    <row r="2784" spans="1:10" ht="15.75" hidden="1" thickBot="1" x14ac:dyDescent="0.3">
      <c r="A2784" s="222"/>
      <c r="B2784" s="225"/>
      <c r="C2784" s="32"/>
      <c r="D2784" s="32"/>
      <c r="E2784" s="33"/>
      <c r="F2784" s="43" t="s">
        <v>572</v>
      </c>
      <c r="G2784" s="34" t="str">
        <f t="shared" si="49"/>
        <v/>
      </c>
      <c r="H2784" s="35"/>
      <c r="I2784" s="31"/>
      <c r="J2784" s="156">
        <v>0</v>
      </c>
    </row>
    <row r="2785" spans="1:10" ht="15.75" hidden="1" thickBot="1" x14ac:dyDescent="0.3">
      <c r="A2785" s="222"/>
      <c r="B2785" s="225"/>
      <c r="C2785" s="36" t="s">
        <v>68</v>
      </c>
      <c r="D2785" s="36" t="s">
        <v>12</v>
      </c>
      <c r="E2785" s="37">
        <v>0.15</v>
      </c>
      <c r="F2785" s="34">
        <v>20.539000000000001</v>
      </c>
      <c r="G2785" s="34">
        <f t="shared" si="49"/>
        <v>3.0808500000000003</v>
      </c>
      <c r="H2785" s="39">
        <f>SUM(G2785:G2786)</f>
        <v>4.03085</v>
      </c>
      <c r="I2785" s="40"/>
      <c r="J2785" s="156">
        <v>0</v>
      </c>
    </row>
    <row r="2786" spans="1:10" ht="26.25" hidden="1" thickBot="1" x14ac:dyDescent="0.3">
      <c r="A2786" s="222"/>
      <c r="B2786" s="225"/>
      <c r="C2786" s="36" t="s">
        <v>864</v>
      </c>
      <c r="D2786" s="36" t="s">
        <v>20</v>
      </c>
      <c r="E2786" s="37">
        <v>1</v>
      </c>
      <c r="F2786" s="31">
        <v>0.95</v>
      </c>
      <c r="G2786" s="34">
        <f t="shared" si="49"/>
        <v>0.95</v>
      </c>
      <c r="H2786" s="35"/>
      <c r="I2786" s="31"/>
      <c r="J2786" s="156">
        <v>0</v>
      </c>
    </row>
    <row r="2787" spans="1:10" ht="15.75" hidden="1" thickBot="1" x14ac:dyDescent="0.3">
      <c r="A2787" s="223"/>
      <c r="B2787" s="226"/>
      <c r="C2787" s="36"/>
      <c r="D2787" s="36"/>
      <c r="E2787" s="37"/>
      <c r="F2787" s="31" t="s">
        <v>572</v>
      </c>
      <c r="G2787" s="34" t="str">
        <f t="shared" si="49"/>
        <v/>
      </c>
      <c r="H2787" s="35"/>
      <c r="I2787" s="31"/>
      <c r="J2787" s="156">
        <v>0</v>
      </c>
    </row>
    <row r="2788" spans="1:10" ht="15.75" hidden="1" thickBot="1" x14ac:dyDescent="0.3">
      <c r="A2788" s="221" t="s">
        <v>865</v>
      </c>
      <c r="B2788" s="224" t="str">
        <f>INDEX(Orçamentária!A:B,MATCH(Composições!A2788,Orçamentária!A:A,0),2)</f>
        <v>Suporte de união, sem batedor, para dois ou três vidros temperados</v>
      </c>
      <c r="C2788" s="41"/>
      <c r="D2788" s="26" t="str">
        <f>TRIM(INDEX(Orçamentária!C:C,MATCH(Composições!A2788,Orçamentária!A:A,0),1))</f>
        <v>un</v>
      </c>
      <c r="E2788" s="27"/>
      <c r="F2788" s="42" t="s">
        <v>572</v>
      </c>
      <c r="G2788" s="28" t="str">
        <f t="shared" si="49"/>
        <v/>
      </c>
      <c r="H2788" s="29"/>
      <c r="I2788" s="30"/>
      <c r="J2788" s="156">
        <v>0</v>
      </c>
    </row>
    <row r="2789" spans="1:10" ht="15.75" hidden="1" thickBot="1" x14ac:dyDescent="0.3">
      <c r="A2789" s="222"/>
      <c r="B2789" s="225"/>
      <c r="C2789" s="32"/>
      <c r="D2789" s="32"/>
      <c r="E2789" s="33"/>
      <c r="F2789" s="43" t="s">
        <v>572</v>
      </c>
      <c r="G2789" s="34" t="str">
        <f t="shared" si="49"/>
        <v/>
      </c>
      <c r="H2789" s="35"/>
      <c r="I2789" s="31"/>
      <c r="J2789" s="156">
        <v>0</v>
      </c>
    </row>
    <row r="2790" spans="1:10" ht="15.75" hidden="1" thickBot="1" x14ac:dyDescent="0.3">
      <c r="A2790" s="222"/>
      <c r="B2790" s="225"/>
      <c r="C2790" s="36" t="s">
        <v>68</v>
      </c>
      <c r="D2790" s="36" t="s">
        <v>12</v>
      </c>
      <c r="E2790" s="37">
        <v>0.3</v>
      </c>
      <c r="F2790" s="34">
        <v>20.539000000000001</v>
      </c>
      <c r="G2790" s="34">
        <f t="shared" si="49"/>
        <v>6.1617000000000006</v>
      </c>
      <c r="H2790" s="39">
        <f>SUM(G2790:G2791)</f>
        <v>7.1117000000000008</v>
      </c>
      <c r="I2790" s="40"/>
      <c r="J2790" s="156">
        <v>0</v>
      </c>
    </row>
    <row r="2791" spans="1:10" ht="26.25" hidden="1" thickBot="1" x14ac:dyDescent="0.3">
      <c r="A2791" s="222"/>
      <c r="B2791" s="225"/>
      <c r="C2791" s="36" t="s">
        <v>866</v>
      </c>
      <c r="D2791" s="36" t="s">
        <v>20</v>
      </c>
      <c r="E2791" s="37">
        <v>1</v>
      </c>
      <c r="F2791" s="31">
        <v>0.95</v>
      </c>
      <c r="G2791" s="34">
        <f t="shared" si="49"/>
        <v>0.95</v>
      </c>
      <c r="H2791" s="35"/>
      <c r="I2791" s="31"/>
      <c r="J2791" s="156">
        <v>0</v>
      </c>
    </row>
    <row r="2792" spans="1:10" ht="15.75" hidden="1" thickBot="1" x14ac:dyDescent="0.3">
      <c r="A2792" s="222"/>
      <c r="B2792" s="225"/>
      <c r="C2792" s="36"/>
      <c r="D2792" s="36"/>
      <c r="E2792" s="37"/>
      <c r="F2792" s="31" t="s">
        <v>572</v>
      </c>
      <c r="G2792" s="34" t="str">
        <f t="shared" si="49"/>
        <v/>
      </c>
      <c r="H2792" s="35"/>
      <c r="I2792" s="31"/>
      <c r="J2792" s="156">
        <v>0</v>
      </c>
    </row>
    <row r="2793" spans="1:10" ht="39.75" hidden="1" thickBot="1" x14ac:dyDescent="0.3">
      <c r="A2793" s="222"/>
      <c r="B2793" s="225"/>
      <c r="C2793" s="150" t="s">
        <v>867</v>
      </c>
      <c r="D2793" s="36"/>
      <c r="E2793" s="37"/>
      <c r="F2793" s="31" t="s">
        <v>572</v>
      </c>
      <c r="G2793" s="34" t="str">
        <f t="shared" si="49"/>
        <v/>
      </c>
      <c r="H2793" s="35"/>
      <c r="I2793" s="31"/>
      <c r="J2793" s="156">
        <v>0</v>
      </c>
    </row>
    <row r="2794" spans="1:10" ht="15.75" hidden="1" thickBot="1" x14ac:dyDescent="0.3">
      <c r="A2794" s="223"/>
      <c r="B2794" s="226"/>
      <c r="C2794" s="36"/>
      <c r="D2794" s="36"/>
      <c r="E2794" s="37"/>
      <c r="F2794" s="31" t="s">
        <v>572</v>
      </c>
      <c r="G2794" s="34" t="str">
        <f t="shared" si="49"/>
        <v/>
      </c>
      <c r="H2794" s="35"/>
      <c r="I2794" s="31"/>
      <c r="J2794" s="156">
        <v>0</v>
      </c>
    </row>
    <row r="2795" spans="1:10" ht="15.75" hidden="1" thickBot="1" x14ac:dyDescent="0.3">
      <c r="A2795" s="221" t="s">
        <v>868</v>
      </c>
      <c r="B2795" s="224" t="str">
        <f>INDEX(Orçamentária!A:B,MATCH(Composições!A2795,Orçamentária!A:A,0),2)</f>
        <v>Botão de correção para vidro temperado</v>
      </c>
      <c r="C2795" s="41"/>
      <c r="D2795" s="26" t="str">
        <f>TRIM(INDEX(Orçamentária!C:C,MATCH(Composições!A2795,Orçamentária!A:A,0),1))</f>
        <v>un</v>
      </c>
      <c r="E2795" s="27"/>
      <c r="F2795" s="42" t="s">
        <v>572</v>
      </c>
      <c r="G2795" s="28" t="str">
        <f t="shared" si="49"/>
        <v/>
      </c>
      <c r="H2795" s="29"/>
      <c r="I2795" s="30"/>
      <c r="J2795" s="156">
        <v>0</v>
      </c>
    </row>
    <row r="2796" spans="1:10" ht="15.75" hidden="1" thickBot="1" x14ac:dyDescent="0.3">
      <c r="A2796" s="222"/>
      <c r="B2796" s="225"/>
      <c r="C2796" s="32"/>
      <c r="D2796" s="32"/>
      <c r="E2796" s="33"/>
      <c r="F2796" s="43" t="s">
        <v>572</v>
      </c>
      <c r="G2796" s="34" t="str">
        <f t="shared" si="49"/>
        <v/>
      </c>
      <c r="H2796" s="35"/>
      <c r="I2796" s="31"/>
      <c r="J2796" s="156">
        <v>0</v>
      </c>
    </row>
    <row r="2797" spans="1:10" ht="15.75" hidden="1" thickBot="1" x14ac:dyDescent="0.3">
      <c r="A2797" s="222"/>
      <c r="B2797" s="225"/>
      <c r="C2797" s="36" t="s">
        <v>68</v>
      </c>
      <c r="D2797" s="36" t="s">
        <v>12</v>
      </c>
      <c r="E2797" s="37">
        <v>0.15</v>
      </c>
      <c r="F2797" s="34">
        <v>20.539000000000001</v>
      </c>
      <c r="G2797" s="34">
        <f t="shared" si="49"/>
        <v>3.0808500000000003</v>
      </c>
      <c r="H2797" s="39">
        <f>SUM(G2797:G2798)</f>
        <v>4.03085</v>
      </c>
      <c r="I2797" s="40"/>
      <c r="J2797" s="156">
        <v>0</v>
      </c>
    </row>
    <row r="2798" spans="1:10" ht="15.75" hidden="1" thickBot="1" x14ac:dyDescent="0.3">
      <c r="A2798" s="222"/>
      <c r="B2798" s="225"/>
      <c r="C2798" s="36" t="s">
        <v>869</v>
      </c>
      <c r="D2798" s="36" t="s">
        <v>20</v>
      </c>
      <c r="E2798" s="37">
        <v>1</v>
      </c>
      <c r="F2798" s="31">
        <v>0.95</v>
      </c>
      <c r="G2798" s="34">
        <f t="shared" si="49"/>
        <v>0.95</v>
      </c>
      <c r="H2798" s="35"/>
      <c r="I2798" s="31"/>
      <c r="J2798" s="156">
        <v>0</v>
      </c>
    </row>
    <row r="2799" spans="1:10" ht="15.75" hidden="1" thickBot="1" x14ac:dyDescent="0.3">
      <c r="A2799" s="223"/>
      <c r="B2799" s="226"/>
      <c r="C2799" s="36"/>
      <c r="D2799" s="36"/>
      <c r="E2799" s="37"/>
      <c r="F2799" s="31" t="s">
        <v>572</v>
      </c>
      <c r="G2799" s="34" t="str">
        <f t="shared" si="49"/>
        <v/>
      </c>
      <c r="H2799" s="35"/>
      <c r="I2799" s="31"/>
      <c r="J2799" s="156">
        <v>0</v>
      </c>
    </row>
    <row r="2800" spans="1:10" ht="15.75" hidden="1" thickBot="1" x14ac:dyDescent="0.3">
      <c r="A2800" s="221" t="s">
        <v>870</v>
      </c>
      <c r="B2800" s="224" t="str">
        <f>INDEX(Orçamentária!A:B,MATCH(Composições!A2800,Orçamentária!A:A,0),2)</f>
        <v>Fechadura bico-de-papagaio, com furo, para vidro temperado</v>
      </c>
      <c r="C2800" s="41"/>
      <c r="D2800" s="26" t="str">
        <f>TRIM(INDEX(Orçamentária!C:C,MATCH(Composições!A2800,Orçamentária!A:A,0),1))</f>
        <v>un</v>
      </c>
      <c r="E2800" s="27"/>
      <c r="F2800" s="42" t="s">
        <v>572</v>
      </c>
      <c r="G2800" s="28" t="str">
        <f t="shared" si="49"/>
        <v/>
      </c>
      <c r="H2800" s="29"/>
      <c r="I2800" s="30"/>
      <c r="J2800" s="156">
        <v>0</v>
      </c>
    </row>
    <row r="2801" spans="1:10" ht="15.75" hidden="1" thickBot="1" x14ac:dyDescent="0.3">
      <c r="A2801" s="222"/>
      <c r="B2801" s="225"/>
      <c r="C2801" s="32"/>
      <c r="D2801" s="32"/>
      <c r="E2801" s="33"/>
      <c r="F2801" s="43" t="s">
        <v>572</v>
      </c>
      <c r="G2801" s="34" t="str">
        <f t="shared" si="49"/>
        <v/>
      </c>
      <c r="H2801" s="35"/>
      <c r="I2801" s="31"/>
      <c r="J2801" s="156">
        <v>0</v>
      </c>
    </row>
    <row r="2802" spans="1:10" ht="15.75" hidden="1" thickBot="1" x14ac:dyDescent="0.3">
      <c r="A2802" s="222"/>
      <c r="B2802" s="225"/>
      <c r="C2802" s="36" t="s">
        <v>68</v>
      </c>
      <c r="D2802" s="36" t="s">
        <v>12</v>
      </c>
      <c r="E2802" s="37">
        <v>0.4</v>
      </c>
      <c r="F2802" s="34">
        <v>20.539000000000001</v>
      </c>
      <c r="G2802" s="34">
        <f t="shared" si="49"/>
        <v>8.2156000000000002</v>
      </c>
      <c r="H2802" s="39">
        <f>SUM(G2802:G2803)</f>
        <v>8.2156000000000002</v>
      </c>
      <c r="I2802" s="40"/>
      <c r="J2802" s="156">
        <v>0</v>
      </c>
    </row>
    <row r="2803" spans="1:10" ht="26.25" hidden="1" thickBot="1" x14ac:dyDescent="0.3">
      <c r="A2803" s="222"/>
      <c r="B2803" s="225"/>
      <c r="C2803" s="36" t="s">
        <v>871</v>
      </c>
      <c r="D2803" s="36" t="s">
        <v>20</v>
      </c>
      <c r="E2803" s="37">
        <v>1</v>
      </c>
      <c r="F2803" s="31" t="s">
        <v>572</v>
      </c>
      <c r="G2803" s="34" t="str">
        <f t="shared" si="49"/>
        <v/>
      </c>
      <c r="H2803" s="35"/>
      <c r="I2803" s="31"/>
      <c r="J2803" s="156">
        <v>0</v>
      </c>
    </row>
    <row r="2804" spans="1:10" ht="15.75" hidden="1" thickBot="1" x14ac:dyDescent="0.3">
      <c r="A2804" s="223"/>
      <c r="B2804" s="226"/>
      <c r="C2804" s="36"/>
      <c r="D2804" s="36"/>
      <c r="E2804" s="37"/>
      <c r="F2804" s="31" t="s">
        <v>572</v>
      </c>
      <c r="G2804" s="34" t="str">
        <f t="shared" si="49"/>
        <v/>
      </c>
      <c r="H2804" s="35"/>
      <c r="I2804" s="31"/>
      <c r="J2804" s="156">
        <v>0</v>
      </c>
    </row>
    <row r="2805" spans="1:10" ht="15.75" hidden="1" thickBot="1" x14ac:dyDescent="0.3">
      <c r="A2805" s="221" t="s">
        <v>872</v>
      </c>
      <c r="B2805" s="224" t="str">
        <f>INDEX(Orçamentária!A:B,MATCH(Composições!A2805,Orçamentária!A:A,0),2)</f>
        <v>Fechadura bico-de-papagaio, com furo, para janela de vidro temperado</v>
      </c>
      <c r="C2805" s="41"/>
      <c r="D2805" s="26" t="str">
        <f>TRIM(INDEX(Orçamentária!C:C,MATCH(Composições!A2805,Orçamentária!A:A,0),1))</f>
        <v>un</v>
      </c>
      <c r="E2805" s="27"/>
      <c r="F2805" s="42" t="s">
        <v>572</v>
      </c>
      <c r="G2805" s="28" t="str">
        <f t="shared" si="49"/>
        <v/>
      </c>
      <c r="H2805" s="29"/>
      <c r="I2805" s="30"/>
      <c r="J2805" s="156">
        <v>0</v>
      </c>
    </row>
    <row r="2806" spans="1:10" ht="15.75" hidden="1" thickBot="1" x14ac:dyDescent="0.3">
      <c r="A2806" s="222"/>
      <c r="B2806" s="225"/>
      <c r="C2806" s="32"/>
      <c r="D2806" s="32"/>
      <c r="E2806" s="33"/>
      <c r="F2806" s="43" t="s">
        <v>572</v>
      </c>
      <c r="G2806" s="34" t="str">
        <f t="shared" si="49"/>
        <v/>
      </c>
      <c r="H2806" s="35"/>
      <c r="I2806" s="31"/>
      <c r="J2806" s="156">
        <v>0</v>
      </c>
    </row>
    <row r="2807" spans="1:10" ht="15.75" hidden="1" thickBot="1" x14ac:dyDescent="0.3">
      <c r="A2807" s="222"/>
      <c r="B2807" s="225"/>
      <c r="C2807" s="36" t="s">
        <v>68</v>
      </c>
      <c r="D2807" s="36" t="s">
        <v>12</v>
      </c>
      <c r="E2807" s="37">
        <v>0.4</v>
      </c>
      <c r="F2807" s="34">
        <v>20.539000000000001</v>
      </c>
      <c r="G2807" s="34">
        <f t="shared" si="49"/>
        <v>8.2156000000000002</v>
      </c>
      <c r="H2807" s="39">
        <f>SUM(G2807:G2808)</f>
        <v>8.2156000000000002</v>
      </c>
      <c r="I2807" s="40"/>
      <c r="J2807" s="156">
        <v>0</v>
      </c>
    </row>
    <row r="2808" spans="1:10" ht="26.25" hidden="1" thickBot="1" x14ac:dyDescent="0.3">
      <c r="A2808" s="222"/>
      <c r="B2808" s="225"/>
      <c r="C2808" s="36" t="s">
        <v>873</v>
      </c>
      <c r="D2808" s="36" t="s">
        <v>20</v>
      </c>
      <c r="E2808" s="37">
        <v>1</v>
      </c>
      <c r="F2808" s="31" t="s">
        <v>572</v>
      </c>
      <c r="G2808" s="34" t="str">
        <f t="shared" si="49"/>
        <v/>
      </c>
      <c r="H2808" s="35"/>
      <c r="I2808" s="31"/>
      <c r="J2808" s="156">
        <v>0</v>
      </c>
    </row>
    <row r="2809" spans="1:10" ht="15.75" hidden="1" thickBot="1" x14ac:dyDescent="0.3">
      <c r="A2809" s="223"/>
      <c r="B2809" s="226"/>
      <c r="C2809" s="36"/>
      <c r="D2809" s="36"/>
      <c r="E2809" s="37"/>
      <c r="F2809" s="31" t="s">
        <v>572</v>
      </c>
      <c r="G2809" s="34" t="str">
        <f t="shared" si="49"/>
        <v/>
      </c>
      <c r="H2809" s="35"/>
      <c r="I2809" s="31"/>
      <c r="J2809" s="156">
        <v>0</v>
      </c>
    </row>
    <row r="2810" spans="1:10" ht="15.75" hidden="1" thickBot="1" x14ac:dyDescent="0.3">
      <c r="A2810" s="221" t="s">
        <v>874</v>
      </c>
      <c r="B2810" s="224" t="str">
        <f>INDEX(Orçamentária!A:B,MATCH(Composições!A2810,Orçamentária!A:A,0),2)</f>
        <v>Fechadura para porta de abrir de vidro temperado</v>
      </c>
      <c r="C2810" s="41"/>
      <c r="D2810" s="26" t="str">
        <f>TRIM(INDEX(Orçamentária!C:C,MATCH(Composições!A2810,Orçamentária!A:A,0),1))</f>
        <v>un</v>
      </c>
      <c r="E2810" s="27"/>
      <c r="F2810" s="42" t="s">
        <v>572</v>
      </c>
      <c r="G2810" s="28" t="str">
        <f t="shared" si="49"/>
        <v/>
      </c>
      <c r="H2810" s="29"/>
      <c r="I2810" s="30"/>
      <c r="J2810" s="156">
        <v>0</v>
      </c>
    </row>
    <row r="2811" spans="1:10" ht="15.75" hidden="1" thickBot="1" x14ac:dyDescent="0.3">
      <c r="A2811" s="222"/>
      <c r="B2811" s="225"/>
      <c r="C2811" s="32"/>
      <c r="D2811" s="32"/>
      <c r="E2811" s="33"/>
      <c r="F2811" s="43" t="s">
        <v>572</v>
      </c>
      <c r="G2811" s="34" t="str">
        <f t="shared" si="49"/>
        <v/>
      </c>
      <c r="H2811" s="35"/>
      <c r="I2811" s="31"/>
      <c r="J2811" s="156">
        <v>0</v>
      </c>
    </row>
    <row r="2812" spans="1:10" ht="15.75" hidden="1" thickBot="1" x14ac:dyDescent="0.3">
      <c r="A2812" s="222"/>
      <c r="B2812" s="225"/>
      <c r="C2812" s="36" t="s">
        <v>68</v>
      </c>
      <c r="D2812" s="36" t="s">
        <v>12</v>
      </c>
      <c r="E2812" s="37">
        <v>0.4</v>
      </c>
      <c r="F2812" s="34">
        <v>20.539000000000001</v>
      </c>
      <c r="G2812" s="34">
        <f t="shared" si="49"/>
        <v>8.2156000000000002</v>
      </c>
      <c r="H2812" s="39">
        <f>SUM(G2812:G2813)</f>
        <v>8.2156000000000002</v>
      </c>
      <c r="I2812" s="40"/>
      <c r="J2812" s="156">
        <v>0</v>
      </c>
    </row>
    <row r="2813" spans="1:10" ht="26.25" hidden="1" thickBot="1" x14ac:dyDescent="0.3">
      <c r="A2813" s="222"/>
      <c r="B2813" s="225"/>
      <c r="C2813" s="36" t="s">
        <v>875</v>
      </c>
      <c r="D2813" s="36" t="s">
        <v>20</v>
      </c>
      <c r="E2813" s="37">
        <v>1</v>
      </c>
      <c r="F2813" s="31" t="s">
        <v>572</v>
      </c>
      <c r="G2813" s="34" t="str">
        <f t="shared" si="49"/>
        <v/>
      </c>
      <c r="H2813" s="35"/>
      <c r="I2813" s="31"/>
      <c r="J2813" s="156">
        <v>0</v>
      </c>
    </row>
    <row r="2814" spans="1:10" ht="15.75" hidden="1" thickBot="1" x14ac:dyDescent="0.3">
      <c r="A2814" s="223"/>
      <c r="B2814" s="226"/>
      <c r="C2814" s="36"/>
      <c r="D2814" s="36"/>
      <c r="E2814" s="37"/>
      <c r="F2814" s="31" t="s">
        <v>572</v>
      </c>
      <c r="G2814" s="34" t="str">
        <f t="shared" si="49"/>
        <v/>
      </c>
      <c r="H2814" s="35"/>
      <c r="I2814" s="31"/>
      <c r="J2814" s="156">
        <v>0</v>
      </c>
    </row>
    <row r="2815" spans="1:10" ht="15.75" hidden="1" thickBot="1" x14ac:dyDescent="0.3">
      <c r="A2815" s="221" t="s">
        <v>876</v>
      </c>
      <c r="B2815" s="224" t="str">
        <f>INDEX(Orçamentária!A:B,MATCH(Composições!A2815,Orçamentária!A:A,0),2)</f>
        <v>Contra fechadura, para alvenaria, para porta com fechadura 1520/9520</v>
      </c>
      <c r="C2815" s="41"/>
      <c r="D2815" s="26" t="str">
        <f>TRIM(INDEX(Orçamentária!C:C,MATCH(Composições!A2815,Orçamentária!A:A,0),1))</f>
        <v>un</v>
      </c>
      <c r="E2815" s="27"/>
      <c r="F2815" s="42" t="s">
        <v>572</v>
      </c>
      <c r="G2815" s="28" t="str">
        <f t="shared" si="49"/>
        <v/>
      </c>
      <c r="H2815" s="29"/>
      <c r="I2815" s="30"/>
      <c r="J2815" s="156">
        <v>0</v>
      </c>
    </row>
    <row r="2816" spans="1:10" ht="15.75" hidden="1" thickBot="1" x14ac:dyDescent="0.3">
      <c r="A2816" s="222"/>
      <c r="B2816" s="225"/>
      <c r="C2816" s="32"/>
      <c r="D2816" s="32"/>
      <c r="E2816" s="33"/>
      <c r="F2816" s="43" t="s">
        <v>572</v>
      </c>
      <c r="G2816" s="34" t="str">
        <f t="shared" si="49"/>
        <v/>
      </c>
      <c r="H2816" s="35"/>
      <c r="I2816" s="31"/>
      <c r="J2816" s="156">
        <v>0</v>
      </c>
    </row>
    <row r="2817" spans="1:10" ht="15.75" hidden="1" thickBot="1" x14ac:dyDescent="0.3">
      <c r="A2817" s="222"/>
      <c r="B2817" s="225"/>
      <c r="C2817" s="36" t="s">
        <v>68</v>
      </c>
      <c r="D2817" s="36" t="s">
        <v>12</v>
      </c>
      <c r="E2817" s="37">
        <v>0.25</v>
      </c>
      <c r="F2817" s="34">
        <v>20.539000000000001</v>
      </c>
      <c r="G2817" s="34">
        <f t="shared" si="49"/>
        <v>5.1347500000000004</v>
      </c>
      <c r="H2817" s="39">
        <f>SUM(G2817:G2818)</f>
        <v>5.1347500000000004</v>
      </c>
      <c r="I2817" s="40"/>
      <c r="J2817" s="156">
        <v>0</v>
      </c>
    </row>
    <row r="2818" spans="1:10" ht="39" hidden="1" thickBot="1" x14ac:dyDescent="0.3">
      <c r="A2818" s="222"/>
      <c r="B2818" s="225"/>
      <c r="C2818" s="36" t="s">
        <v>877</v>
      </c>
      <c r="D2818" s="36" t="s">
        <v>20</v>
      </c>
      <c r="E2818" s="37">
        <v>1</v>
      </c>
      <c r="F2818" s="31" t="s">
        <v>572</v>
      </c>
      <c r="G2818" s="34" t="str">
        <f t="shared" si="49"/>
        <v/>
      </c>
      <c r="H2818" s="35"/>
      <c r="I2818" s="31"/>
      <c r="J2818" s="156">
        <v>0</v>
      </c>
    </row>
    <row r="2819" spans="1:10" ht="15.75" hidden="1" thickBot="1" x14ac:dyDescent="0.3">
      <c r="A2819" s="223"/>
      <c r="B2819" s="226"/>
      <c r="C2819" s="36"/>
      <c r="D2819" s="36"/>
      <c r="E2819" s="37"/>
      <c r="F2819" s="31" t="s">
        <v>572</v>
      </c>
      <c r="G2819" s="34" t="str">
        <f t="shared" si="49"/>
        <v/>
      </c>
      <c r="H2819" s="35"/>
      <c r="I2819" s="31"/>
      <c r="J2819" s="156">
        <v>0</v>
      </c>
    </row>
    <row r="2820" spans="1:10" ht="15.75" hidden="1" thickBot="1" x14ac:dyDescent="0.3">
      <c r="A2820" s="221" t="s">
        <v>878</v>
      </c>
      <c r="B2820" s="224" t="str">
        <f>INDEX(Orçamentária!A:B,MATCH(Composições!A2820,Orçamentária!A:A,0),2)</f>
        <v>Contra fechadura de pressão para porta de vidro temperado</v>
      </c>
      <c r="C2820" s="41"/>
      <c r="D2820" s="26" t="str">
        <f>TRIM(INDEX(Orçamentária!C:C,MATCH(Composições!A2820,Orçamentária!A:A,0),1))</f>
        <v>un</v>
      </c>
      <c r="E2820" s="27"/>
      <c r="F2820" s="42" t="s">
        <v>572</v>
      </c>
      <c r="G2820" s="28" t="str">
        <f t="shared" si="49"/>
        <v/>
      </c>
      <c r="H2820" s="29"/>
      <c r="I2820" s="30"/>
      <c r="J2820" s="156">
        <v>0</v>
      </c>
    </row>
    <row r="2821" spans="1:10" ht="15.75" hidden="1" thickBot="1" x14ac:dyDescent="0.3">
      <c r="A2821" s="222"/>
      <c r="B2821" s="225"/>
      <c r="C2821" s="32"/>
      <c r="D2821" s="32"/>
      <c r="E2821" s="33"/>
      <c r="F2821" s="43" t="s">
        <v>572</v>
      </c>
      <c r="G2821" s="34" t="str">
        <f t="shared" si="49"/>
        <v/>
      </c>
      <c r="H2821" s="35"/>
      <c r="I2821" s="31"/>
      <c r="J2821" s="156">
        <v>0</v>
      </c>
    </row>
    <row r="2822" spans="1:10" ht="15.75" hidden="1" thickBot="1" x14ac:dyDescent="0.3">
      <c r="A2822" s="222"/>
      <c r="B2822" s="225"/>
      <c r="C2822" s="36" t="s">
        <v>68</v>
      </c>
      <c r="D2822" s="36" t="s">
        <v>12</v>
      </c>
      <c r="E2822" s="37">
        <v>0.25</v>
      </c>
      <c r="F2822" s="34">
        <v>20.539000000000001</v>
      </c>
      <c r="G2822" s="34">
        <f t="shared" si="49"/>
        <v>5.1347500000000004</v>
      </c>
      <c r="H2822" s="39">
        <f>SUM(G2822:G2823)</f>
        <v>5.1347500000000004</v>
      </c>
      <c r="I2822" s="40"/>
      <c r="J2822" s="156">
        <v>0</v>
      </c>
    </row>
    <row r="2823" spans="1:10" ht="39" hidden="1" thickBot="1" x14ac:dyDescent="0.3">
      <c r="A2823" s="222"/>
      <c r="B2823" s="225"/>
      <c r="C2823" s="36" t="s">
        <v>879</v>
      </c>
      <c r="D2823" s="36" t="s">
        <v>20</v>
      </c>
      <c r="E2823" s="37">
        <v>1</v>
      </c>
      <c r="F2823" s="31" t="s">
        <v>572</v>
      </c>
      <c r="G2823" s="34" t="str">
        <f t="shared" si="49"/>
        <v/>
      </c>
      <c r="H2823" s="35"/>
      <c r="I2823" s="31"/>
      <c r="J2823" s="156">
        <v>0</v>
      </c>
    </row>
    <row r="2824" spans="1:10" ht="15.75" hidden="1" thickBot="1" x14ac:dyDescent="0.3">
      <c r="A2824" s="223"/>
      <c r="B2824" s="226"/>
      <c r="C2824" s="36"/>
      <c r="D2824" s="36"/>
      <c r="E2824" s="37"/>
      <c r="F2824" s="31" t="s">
        <v>572</v>
      </c>
      <c r="G2824" s="34" t="str">
        <f t="shared" si="49"/>
        <v/>
      </c>
      <c r="H2824" s="35"/>
      <c r="I2824" s="31"/>
      <c r="J2824" s="156">
        <v>0</v>
      </c>
    </row>
    <row r="2825" spans="1:10" ht="15.75" hidden="1" thickBot="1" x14ac:dyDescent="0.3">
      <c r="A2825" s="221" t="s">
        <v>880</v>
      </c>
      <c r="B2825" s="224" t="str">
        <f>INDEX(Orçamentária!A:B,MATCH(Composições!A2825,Orçamentária!A:A,0),2)</f>
        <v>Contra fechadura, com furo, para porta com furo</v>
      </c>
      <c r="C2825" s="41"/>
      <c r="D2825" s="26" t="str">
        <f>TRIM(INDEX(Orçamentária!C:C,MATCH(Composições!A2825,Orçamentária!A:A,0),1))</f>
        <v>un</v>
      </c>
      <c r="E2825" s="27"/>
      <c r="F2825" s="42" t="s">
        <v>572</v>
      </c>
      <c r="G2825" s="28" t="str">
        <f t="shared" si="49"/>
        <v/>
      </c>
      <c r="H2825" s="29"/>
      <c r="I2825" s="30"/>
      <c r="J2825" s="156">
        <v>0</v>
      </c>
    </row>
    <row r="2826" spans="1:10" ht="15.75" hidden="1" thickBot="1" x14ac:dyDescent="0.3">
      <c r="A2826" s="222"/>
      <c r="B2826" s="225"/>
      <c r="C2826" s="32"/>
      <c r="D2826" s="32"/>
      <c r="E2826" s="33"/>
      <c r="F2826" s="43" t="s">
        <v>572</v>
      </c>
      <c r="G2826" s="34" t="str">
        <f t="shared" si="49"/>
        <v/>
      </c>
      <c r="H2826" s="35"/>
      <c r="I2826" s="31"/>
      <c r="J2826" s="156">
        <v>0</v>
      </c>
    </row>
    <row r="2827" spans="1:10" ht="15.75" hidden="1" thickBot="1" x14ac:dyDescent="0.3">
      <c r="A2827" s="222"/>
      <c r="B2827" s="225"/>
      <c r="C2827" s="36" t="s">
        <v>68</v>
      </c>
      <c r="D2827" s="36" t="s">
        <v>12</v>
      </c>
      <c r="E2827" s="37">
        <v>0.25</v>
      </c>
      <c r="F2827" s="34">
        <v>20.539000000000001</v>
      </c>
      <c r="G2827" s="34">
        <f t="shared" si="49"/>
        <v>5.1347500000000004</v>
      </c>
      <c r="H2827" s="39">
        <f>SUM(G2827:G2828)</f>
        <v>5.1347500000000004</v>
      </c>
      <c r="I2827" s="40"/>
      <c r="J2827" s="156">
        <v>0</v>
      </c>
    </row>
    <row r="2828" spans="1:10" ht="39" hidden="1" thickBot="1" x14ac:dyDescent="0.3">
      <c r="A2828" s="222"/>
      <c r="B2828" s="225"/>
      <c r="C2828" s="36" t="s">
        <v>881</v>
      </c>
      <c r="D2828" s="36" t="s">
        <v>20</v>
      </c>
      <c r="E2828" s="37">
        <v>1</v>
      </c>
      <c r="F2828" s="31" t="s">
        <v>572</v>
      </c>
      <c r="G2828" s="34" t="str">
        <f t="shared" si="49"/>
        <v/>
      </c>
      <c r="H2828" s="35"/>
      <c r="I2828" s="31"/>
      <c r="J2828" s="156">
        <v>0</v>
      </c>
    </row>
    <row r="2829" spans="1:10" ht="15.75" hidden="1" thickBot="1" x14ac:dyDescent="0.3">
      <c r="A2829" s="223"/>
      <c r="B2829" s="226"/>
      <c r="C2829" s="36"/>
      <c r="D2829" s="36"/>
      <c r="E2829" s="37"/>
      <c r="F2829" s="31" t="s">
        <v>572</v>
      </c>
      <c r="G2829" s="34" t="str">
        <f t="shared" si="49"/>
        <v/>
      </c>
      <c r="H2829" s="35"/>
      <c r="I2829" s="31"/>
      <c r="J2829" s="156">
        <v>0</v>
      </c>
    </row>
    <row r="2830" spans="1:10" ht="15.75" hidden="1" thickBot="1" x14ac:dyDescent="0.3">
      <c r="A2830" s="221" t="s">
        <v>882</v>
      </c>
      <c r="B2830" s="224" t="str">
        <f>INDEX(Orçamentária!A:B,MATCH(Composições!A2830,Orçamentária!A:A,0),2)</f>
        <v>Trinco inferior, com miolo, para porta de vidro temperado</v>
      </c>
      <c r="C2830" s="41"/>
      <c r="D2830" s="26" t="str">
        <f>TRIM(INDEX(Orçamentária!C:C,MATCH(Composições!A2830,Orçamentária!A:A,0),1))</f>
        <v>un</v>
      </c>
      <c r="E2830" s="27"/>
      <c r="F2830" s="42" t="s">
        <v>572</v>
      </c>
      <c r="G2830" s="28" t="str">
        <f t="shared" si="49"/>
        <v/>
      </c>
      <c r="H2830" s="29"/>
      <c r="I2830" s="30"/>
      <c r="J2830" s="156">
        <v>0</v>
      </c>
    </row>
    <row r="2831" spans="1:10" ht="15.75" hidden="1" thickBot="1" x14ac:dyDescent="0.3">
      <c r="A2831" s="222"/>
      <c r="B2831" s="225"/>
      <c r="C2831" s="32"/>
      <c r="D2831" s="32"/>
      <c r="E2831" s="33"/>
      <c r="F2831" s="43" t="s">
        <v>572</v>
      </c>
      <c r="G2831" s="34" t="str">
        <f t="shared" si="49"/>
        <v/>
      </c>
      <c r="H2831" s="35"/>
      <c r="I2831" s="31"/>
      <c r="J2831" s="156">
        <v>0</v>
      </c>
    </row>
    <row r="2832" spans="1:10" ht="15.75" hidden="1" thickBot="1" x14ac:dyDescent="0.3">
      <c r="A2832" s="222"/>
      <c r="B2832" s="225"/>
      <c r="C2832" s="36" t="s">
        <v>68</v>
      </c>
      <c r="D2832" s="36" t="s">
        <v>12</v>
      </c>
      <c r="E2832" s="37">
        <v>0.25</v>
      </c>
      <c r="F2832" s="34">
        <v>20.539000000000001</v>
      </c>
      <c r="G2832" s="34">
        <f t="shared" si="49"/>
        <v>5.1347500000000004</v>
      </c>
      <c r="H2832" s="39">
        <f>SUM(G2832:G2833)</f>
        <v>6.0847500000000005</v>
      </c>
      <c r="I2832" s="40"/>
      <c r="J2832" s="156">
        <v>0</v>
      </c>
    </row>
    <row r="2833" spans="1:10" ht="26.25" hidden="1" thickBot="1" x14ac:dyDescent="0.3">
      <c r="A2833" s="222"/>
      <c r="B2833" s="225"/>
      <c r="C2833" s="36" t="s">
        <v>883</v>
      </c>
      <c r="D2833" s="36" t="s">
        <v>20</v>
      </c>
      <c r="E2833" s="37">
        <v>1</v>
      </c>
      <c r="F2833" s="31">
        <v>0.95</v>
      </c>
      <c r="G2833" s="34">
        <f t="shared" si="49"/>
        <v>0.95</v>
      </c>
      <c r="H2833" s="35"/>
      <c r="I2833" s="31"/>
      <c r="J2833" s="156">
        <v>0</v>
      </c>
    </row>
    <row r="2834" spans="1:10" ht="15.75" hidden="1" thickBot="1" x14ac:dyDescent="0.3">
      <c r="A2834" s="223"/>
      <c r="B2834" s="226"/>
      <c r="C2834" s="36"/>
      <c r="D2834" s="36"/>
      <c r="E2834" s="37"/>
      <c r="F2834" s="31" t="s">
        <v>572</v>
      </c>
      <c r="G2834" s="34" t="str">
        <f t="shared" ref="G2834:G2897" si="50">IF(ISNUMBER(F2834),E2834*F2834,"")</f>
        <v/>
      </c>
      <c r="H2834" s="35"/>
      <c r="I2834" s="31"/>
      <c r="J2834" s="156">
        <v>0</v>
      </c>
    </row>
    <row r="2835" spans="1:10" ht="15.75" hidden="1" thickBot="1" x14ac:dyDescent="0.3">
      <c r="A2835" s="221" t="s">
        <v>884</v>
      </c>
      <c r="B2835" s="224" t="str">
        <f>INDEX(Orçamentária!A:B,MATCH(Composições!A2835,Orçamentária!A:A,0),2)</f>
        <v>Mola hidráulica BTS 75R</v>
      </c>
      <c r="C2835" s="41"/>
      <c r="D2835" s="26" t="str">
        <f>TRIM(INDEX(Orçamentária!C:C,MATCH(Composições!A2835,Orçamentária!A:A,0),1))</f>
        <v>un</v>
      </c>
      <c r="E2835" s="27"/>
      <c r="F2835" s="42" t="s">
        <v>572</v>
      </c>
      <c r="G2835" s="28" t="str">
        <f t="shared" si="50"/>
        <v/>
      </c>
      <c r="H2835" s="29"/>
      <c r="I2835" s="30"/>
      <c r="J2835" s="156">
        <v>0</v>
      </c>
    </row>
    <row r="2836" spans="1:10" ht="15.75" hidden="1" thickBot="1" x14ac:dyDescent="0.3">
      <c r="A2836" s="222"/>
      <c r="B2836" s="225"/>
      <c r="C2836" s="32"/>
      <c r="D2836" s="32"/>
      <c r="E2836" s="33"/>
      <c r="F2836" s="43" t="s">
        <v>572</v>
      </c>
      <c r="G2836" s="34" t="str">
        <f t="shared" si="50"/>
        <v/>
      </c>
      <c r="H2836" s="35"/>
      <c r="I2836" s="31"/>
      <c r="J2836" s="156">
        <v>0</v>
      </c>
    </row>
    <row r="2837" spans="1:10" ht="15.75" hidden="1" thickBot="1" x14ac:dyDescent="0.3">
      <c r="A2837" s="222"/>
      <c r="B2837" s="225"/>
      <c r="C2837" s="36" t="s">
        <v>68</v>
      </c>
      <c r="D2837" s="36" t="s">
        <v>12</v>
      </c>
      <c r="E2837" s="37">
        <v>0.75</v>
      </c>
      <c r="F2837" s="34">
        <v>20.539000000000001</v>
      </c>
      <c r="G2837" s="34">
        <f t="shared" si="50"/>
        <v>15.404250000000001</v>
      </c>
      <c r="H2837" s="39">
        <f>SUM(G2837:G2842)</f>
        <v>43.031124000000005</v>
      </c>
      <c r="I2837" s="40"/>
      <c r="J2837" s="156">
        <v>0</v>
      </c>
    </row>
    <row r="2838" spans="1:10" ht="15.75" hidden="1" thickBot="1" x14ac:dyDescent="0.3">
      <c r="A2838" s="222"/>
      <c r="B2838" s="225"/>
      <c r="C2838" s="36" t="s">
        <v>23</v>
      </c>
      <c r="D2838" s="36" t="s">
        <v>12</v>
      </c>
      <c r="E2838" s="37">
        <v>0.3</v>
      </c>
      <c r="F2838" s="31">
        <v>16.311500000000002</v>
      </c>
      <c r="G2838" s="34">
        <f t="shared" si="50"/>
        <v>4.8934500000000005</v>
      </c>
      <c r="H2838" s="35"/>
      <c r="I2838" s="31"/>
      <c r="J2838" s="156">
        <v>0</v>
      </c>
    </row>
    <row r="2839" spans="1:10" ht="15.75" hidden="1" thickBot="1" x14ac:dyDescent="0.3">
      <c r="A2839" s="222"/>
      <c r="B2839" s="225"/>
      <c r="C2839" s="36" t="s">
        <v>324</v>
      </c>
      <c r="D2839" s="36" t="s">
        <v>20</v>
      </c>
      <c r="E2839" s="37">
        <v>1</v>
      </c>
      <c r="F2839" s="31" t="s">
        <v>572</v>
      </c>
      <c r="G2839" s="31" t="str">
        <f t="shared" si="50"/>
        <v/>
      </c>
      <c r="H2839" s="35"/>
      <c r="I2839" s="31"/>
      <c r="J2839" s="156">
        <v>0</v>
      </c>
    </row>
    <row r="2840" spans="1:10" ht="39" hidden="1" thickBot="1" x14ac:dyDescent="0.3">
      <c r="A2840" s="222"/>
      <c r="B2840" s="225"/>
      <c r="C2840" s="36" t="s">
        <v>323</v>
      </c>
      <c r="D2840" s="36" t="s">
        <v>20</v>
      </c>
      <c r="E2840" s="37">
        <v>1</v>
      </c>
      <c r="F2840" s="31" t="s">
        <v>572</v>
      </c>
      <c r="G2840" s="34" t="str">
        <f t="shared" si="50"/>
        <v/>
      </c>
      <c r="H2840" s="35"/>
      <c r="I2840" s="31"/>
      <c r="J2840" s="156">
        <v>0</v>
      </c>
    </row>
    <row r="2841" spans="1:10" ht="15.75" hidden="1" thickBot="1" x14ac:dyDescent="0.3">
      <c r="A2841" s="222"/>
      <c r="B2841" s="225"/>
      <c r="C2841" s="36" t="s">
        <v>68</v>
      </c>
      <c r="D2841" s="36" t="s">
        <v>12</v>
      </c>
      <c r="E2841" s="37">
        <f>0.5*2.1*0.8</f>
        <v>0.84000000000000008</v>
      </c>
      <c r="F2841" s="34">
        <v>20.539000000000001</v>
      </c>
      <c r="G2841" s="34">
        <f t="shared" si="50"/>
        <v>17.252760000000002</v>
      </c>
      <c r="H2841" s="35"/>
      <c r="I2841" s="31"/>
      <c r="J2841" s="156">
        <v>0</v>
      </c>
    </row>
    <row r="2842" spans="1:10" ht="15.75" hidden="1" thickBot="1" x14ac:dyDescent="0.3">
      <c r="A2842" s="222"/>
      <c r="B2842" s="225"/>
      <c r="C2842" s="36" t="s">
        <v>23</v>
      </c>
      <c r="D2842" s="36" t="s">
        <v>12</v>
      </c>
      <c r="E2842" s="37">
        <f>0.2*2.1*0.8</f>
        <v>0.33600000000000008</v>
      </c>
      <c r="F2842" s="31">
        <v>16.311500000000002</v>
      </c>
      <c r="G2842" s="34">
        <f t="shared" si="50"/>
        <v>5.4806640000000018</v>
      </c>
      <c r="H2842" s="35"/>
      <c r="I2842" s="31"/>
      <c r="J2842" s="156">
        <v>0</v>
      </c>
    </row>
    <row r="2843" spans="1:10" ht="15.75" hidden="1" thickBot="1" x14ac:dyDescent="0.3">
      <c r="A2843" s="222"/>
      <c r="B2843" s="225"/>
      <c r="C2843" s="36"/>
      <c r="D2843" s="36"/>
      <c r="E2843" s="37"/>
      <c r="F2843" s="31" t="s">
        <v>572</v>
      </c>
      <c r="G2843" s="34" t="str">
        <f t="shared" si="50"/>
        <v/>
      </c>
      <c r="H2843" s="35"/>
      <c r="I2843" s="31"/>
      <c r="J2843" s="156">
        <v>0</v>
      </c>
    </row>
    <row r="2844" spans="1:10" ht="15.75" hidden="1" thickBot="1" x14ac:dyDescent="0.3">
      <c r="A2844" s="222"/>
      <c r="B2844" s="225"/>
      <c r="C2844" s="48" t="s">
        <v>885</v>
      </c>
      <c r="D2844" s="36"/>
      <c r="E2844" s="37"/>
      <c r="F2844" s="31" t="s">
        <v>572</v>
      </c>
      <c r="G2844" s="34" t="str">
        <f t="shared" si="50"/>
        <v/>
      </c>
      <c r="H2844" s="35"/>
      <c r="I2844" s="31"/>
      <c r="J2844" s="156">
        <v>0</v>
      </c>
    </row>
    <row r="2845" spans="1:10" ht="15.75" hidden="1" thickBot="1" x14ac:dyDescent="0.3">
      <c r="A2845" s="223"/>
      <c r="B2845" s="226"/>
      <c r="C2845" s="36"/>
      <c r="D2845" s="36"/>
      <c r="E2845" s="37"/>
      <c r="F2845" s="31" t="s">
        <v>572</v>
      </c>
      <c r="G2845" s="34" t="str">
        <f t="shared" si="50"/>
        <v/>
      </c>
      <c r="H2845" s="35"/>
      <c r="I2845" s="31"/>
      <c r="J2845" s="156">
        <v>0</v>
      </c>
    </row>
    <row r="2846" spans="1:10" ht="15.75" hidden="1" thickBot="1" x14ac:dyDescent="0.3">
      <c r="A2846" s="221" t="s">
        <v>886</v>
      </c>
      <c r="B2846" s="224" t="str">
        <f>INDEX(Orçamentária!A:B,MATCH(Composições!A2846,Orçamentária!A:A,0),2)</f>
        <v>Puxador redondo, padrão em poliéster, para porta de vidro temperado</v>
      </c>
      <c r="C2846" s="41"/>
      <c r="D2846" s="26" t="str">
        <f>TRIM(INDEX(Orçamentária!C:C,MATCH(Composições!A2846,Orçamentária!A:A,0),1))</f>
        <v>un</v>
      </c>
      <c r="E2846" s="27"/>
      <c r="F2846" s="42" t="s">
        <v>572</v>
      </c>
      <c r="G2846" s="28" t="str">
        <f t="shared" si="50"/>
        <v/>
      </c>
      <c r="H2846" s="29"/>
      <c r="I2846" s="30"/>
      <c r="J2846" s="156">
        <v>0</v>
      </c>
    </row>
    <row r="2847" spans="1:10" ht="15.75" hidden="1" thickBot="1" x14ac:dyDescent="0.3">
      <c r="A2847" s="222"/>
      <c r="B2847" s="225"/>
      <c r="C2847" s="32"/>
      <c r="D2847" s="32"/>
      <c r="E2847" s="33"/>
      <c r="F2847" s="43" t="s">
        <v>572</v>
      </c>
      <c r="G2847" s="34" t="str">
        <f t="shared" si="50"/>
        <v/>
      </c>
      <c r="H2847" s="35"/>
      <c r="I2847" s="31"/>
      <c r="J2847" s="156">
        <v>0</v>
      </c>
    </row>
    <row r="2848" spans="1:10" ht="15.75" hidden="1" thickBot="1" x14ac:dyDescent="0.3">
      <c r="A2848" s="222"/>
      <c r="B2848" s="225"/>
      <c r="C2848" s="36" t="s">
        <v>68</v>
      </c>
      <c r="D2848" s="36" t="s">
        <v>12</v>
      </c>
      <c r="E2848" s="37">
        <v>0.2</v>
      </c>
      <c r="F2848" s="34">
        <v>20.539000000000001</v>
      </c>
      <c r="G2848" s="34">
        <f t="shared" si="50"/>
        <v>4.1078000000000001</v>
      </c>
      <c r="H2848" s="39">
        <f>SUM(G2848:G2849)</f>
        <v>4.1078000000000001</v>
      </c>
      <c r="I2848" s="40"/>
      <c r="J2848" s="156">
        <v>0</v>
      </c>
    </row>
    <row r="2849" spans="1:10" ht="39" hidden="1" thickBot="1" x14ac:dyDescent="0.3">
      <c r="A2849" s="222"/>
      <c r="B2849" s="225"/>
      <c r="C2849" s="36" t="s">
        <v>887</v>
      </c>
      <c r="D2849" s="36" t="s">
        <v>20</v>
      </c>
      <c r="E2849" s="37">
        <v>1</v>
      </c>
      <c r="F2849" s="31" t="s">
        <v>572</v>
      </c>
      <c r="G2849" s="34" t="str">
        <f t="shared" si="50"/>
        <v/>
      </c>
      <c r="H2849" s="35"/>
      <c r="I2849" s="31"/>
      <c r="J2849" s="156">
        <v>0</v>
      </c>
    </row>
    <row r="2850" spans="1:10" ht="15.75" hidden="1" thickBot="1" x14ac:dyDescent="0.3">
      <c r="A2850" s="223"/>
      <c r="B2850" s="226"/>
      <c r="C2850" s="36"/>
      <c r="D2850" s="36"/>
      <c r="E2850" s="37"/>
      <c r="F2850" s="31" t="s">
        <v>572</v>
      </c>
      <c r="G2850" s="34" t="str">
        <f t="shared" si="50"/>
        <v/>
      </c>
      <c r="H2850" s="35"/>
      <c r="I2850" s="31"/>
      <c r="J2850" s="156">
        <v>0</v>
      </c>
    </row>
    <row r="2851" spans="1:10" ht="15.75" hidden="1" thickBot="1" x14ac:dyDescent="0.3">
      <c r="A2851" s="221" t="s">
        <v>888</v>
      </c>
      <c r="B2851" s="224" t="str">
        <f>INDEX(Orçamentária!A:B,MATCH(Composições!A2851,Orçamentária!A:A,0),2)</f>
        <v>Puxador em aço inox sob medida – Tipo A</v>
      </c>
      <c r="C2851" s="41"/>
      <c r="D2851" s="26" t="str">
        <f>TRIM(INDEX(Orçamentária!C:C,MATCH(Composições!A2851,Orçamentária!A:A,0),1))</f>
        <v>un</v>
      </c>
      <c r="E2851" s="27"/>
      <c r="F2851" s="42" t="s">
        <v>572</v>
      </c>
      <c r="G2851" s="28" t="str">
        <f t="shared" si="50"/>
        <v/>
      </c>
      <c r="H2851" s="29"/>
      <c r="I2851" s="30"/>
      <c r="J2851" s="156">
        <v>0</v>
      </c>
    </row>
    <row r="2852" spans="1:10" ht="15.75" hidden="1" thickBot="1" x14ac:dyDescent="0.3">
      <c r="A2852" s="222"/>
      <c r="B2852" s="225"/>
      <c r="C2852" s="32"/>
      <c r="D2852" s="32"/>
      <c r="E2852" s="33"/>
      <c r="F2852" s="43" t="s">
        <v>572</v>
      </c>
      <c r="G2852" s="34" t="str">
        <f t="shared" si="50"/>
        <v/>
      </c>
      <c r="H2852" s="35"/>
      <c r="I2852" s="31"/>
      <c r="J2852" s="156">
        <v>0</v>
      </c>
    </row>
    <row r="2853" spans="1:10" ht="15.75" hidden="1" thickBot="1" x14ac:dyDescent="0.3">
      <c r="A2853" s="222"/>
      <c r="B2853" s="225"/>
      <c r="C2853" s="36" t="s">
        <v>68</v>
      </c>
      <c r="D2853" s="47" t="s">
        <v>12</v>
      </c>
      <c r="E2853" s="37">
        <v>0.4</v>
      </c>
      <c r="F2853" s="34">
        <v>20.539000000000001</v>
      </c>
      <c r="G2853" s="34">
        <f t="shared" si="50"/>
        <v>8.2156000000000002</v>
      </c>
      <c r="H2853" s="39">
        <f>SUM(G2853:G2854)</f>
        <v>8.2156000000000002</v>
      </c>
      <c r="I2853" s="40"/>
      <c r="J2853" s="156">
        <v>0</v>
      </c>
    </row>
    <row r="2854" spans="1:10" ht="15.75" hidden="1" thickBot="1" x14ac:dyDescent="0.3">
      <c r="A2854" s="222"/>
      <c r="B2854" s="225"/>
      <c r="C2854" s="36" t="s">
        <v>889</v>
      </c>
      <c r="D2854" s="47" t="s">
        <v>20</v>
      </c>
      <c r="E2854" s="37">
        <v>1</v>
      </c>
      <c r="F2854" s="31" t="s">
        <v>572</v>
      </c>
      <c r="G2854" s="34" t="str">
        <f t="shared" si="50"/>
        <v/>
      </c>
      <c r="H2854" s="35"/>
      <c r="I2854" s="31"/>
      <c r="J2854" s="156">
        <v>0</v>
      </c>
    </row>
    <row r="2855" spans="1:10" ht="15.75" hidden="1" thickBot="1" x14ac:dyDescent="0.3">
      <c r="A2855" s="223"/>
      <c r="B2855" s="226"/>
      <c r="C2855" s="36"/>
      <c r="D2855" s="36"/>
      <c r="E2855" s="37"/>
      <c r="F2855" s="31" t="s">
        <v>572</v>
      </c>
      <c r="G2855" s="34" t="str">
        <f t="shared" si="50"/>
        <v/>
      </c>
      <c r="H2855" s="35"/>
      <c r="I2855" s="31"/>
      <c r="J2855" s="156">
        <v>0</v>
      </c>
    </row>
    <row r="2856" spans="1:10" ht="15.75" hidden="1" thickBot="1" x14ac:dyDescent="0.3">
      <c r="A2856" s="221" t="s">
        <v>890</v>
      </c>
      <c r="B2856" s="224" t="str">
        <f>INDEX(Orçamentária!A:B,MATCH(Composições!A2856,Orçamentária!A:A,0),2)</f>
        <v>Dobradiça superior para porta de vidro temperado</v>
      </c>
      <c r="C2856" s="41"/>
      <c r="D2856" s="26" t="str">
        <f>TRIM(INDEX(Orçamentária!C:C,MATCH(Composições!A2856,Orçamentária!A:A,0),1))</f>
        <v>un</v>
      </c>
      <c r="E2856" s="27"/>
      <c r="F2856" s="42" t="s">
        <v>572</v>
      </c>
      <c r="G2856" s="28" t="str">
        <f t="shared" si="50"/>
        <v/>
      </c>
      <c r="H2856" s="29"/>
      <c r="I2856" s="30"/>
      <c r="J2856" s="156">
        <v>0</v>
      </c>
    </row>
    <row r="2857" spans="1:10" ht="15.75" hidden="1" thickBot="1" x14ac:dyDescent="0.3">
      <c r="A2857" s="222"/>
      <c r="B2857" s="225"/>
      <c r="C2857" s="32"/>
      <c r="D2857" s="32"/>
      <c r="E2857" s="33"/>
      <c r="F2857" s="43" t="s">
        <v>572</v>
      </c>
      <c r="G2857" s="34" t="str">
        <f t="shared" si="50"/>
        <v/>
      </c>
      <c r="H2857" s="35"/>
      <c r="I2857" s="31"/>
      <c r="J2857" s="156">
        <v>0</v>
      </c>
    </row>
    <row r="2858" spans="1:10" ht="15.75" hidden="1" thickBot="1" x14ac:dyDescent="0.3">
      <c r="A2858" s="222"/>
      <c r="B2858" s="225"/>
      <c r="C2858" s="36" t="s">
        <v>68</v>
      </c>
      <c r="D2858" s="36" t="s">
        <v>12</v>
      </c>
      <c r="E2858" s="37">
        <v>0.3</v>
      </c>
      <c r="F2858" s="34">
        <v>20.539000000000001</v>
      </c>
      <c r="G2858" s="34">
        <f t="shared" si="50"/>
        <v>6.1617000000000006</v>
      </c>
      <c r="H2858" s="39">
        <f>SUM(G2858:G2859)</f>
        <v>7.1117000000000008</v>
      </c>
      <c r="I2858" s="40"/>
      <c r="J2858" s="156">
        <v>0</v>
      </c>
    </row>
    <row r="2859" spans="1:10" ht="26.25" hidden="1" thickBot="1" x14ac:dyDescent="0.3">
      <c r="A2859" s="222"/>
      <c r="B2859" s="225"/>
      <c r="C2859" s="36" t="s">
        <v>891</v>
      </c>
      <c r="D2859" s="47" t="s">
        <v>20</v>
      </c>
      <c r="E2859" s="37">
        <v>1</v>
      </c>
      <c r="F2859" s="31">
        <v>0.95</v>
      </c>
      <c r="G2859" s="34">
        <f t="shared" si="50"/>
        <v>0.95</v>
      </c>
      <c r="H2859" s="35"/>
      <c r="I2859" s="31"/>
      <c r="J2859" s="156">
        <v>0</v>
      </c>
    </row>
    <row r="2860" spans="1:10" ht="15.75" hidden="1" thickBot="1" x14ac:dyDescent="0.3">
      <c r="A2860" s="223"/>
      <c r="B2860" s="226"/>
      <c r="C2860" s="36"/>
      <c r="D2860" s="36"/>
      <c r="E2860" s="37"/>
      <c r="F2860" s="31" t="s">
        <v>572</v>
      </c>
      <c r="G2860" s="34" t="str">
        <f t="shared" si="50"/>
        <v/>
      </c>
      <c r="H2860" s="35"/>
      <c r="I2860" s="31"/>
      <c r="J2860" s="156">
        <v>0</v>
      </c>
    </row>
    <row r="2861" spans="1:10" ht="15.75" hidden="1" thickBot="1" x14ac:dyDescent="0.3">
      <c r="A2861" s="221" t="s">
        <v>892</v>
      </c>
      <c r="B2861" s="224" t="str">
        <f>INDEX(Orçamentária!A:B,MATCH(Composições!A2861,Orçamentária!A:A,0),2)</f>
        <v>Perfil em alumínio, tipo U - abas iguais - PU 5/8" x 5/8" – espessura 1,58mm</v>
      </c>
      <c r="C2861" s="41"/>
      <c r="D2861" s="26" t="str">
        <f>TRIM(INDEX(Orçamentária!C:C,MATCH(Composições!A2861,Orçamentária!A:A,0),1))</f>
        <v>m</v>
      </c>
      <c r="E2861" s="27"/>
      <c r="F2861" s="42" t="s">
        <v>572</v>
      </c>
      <c r="G2861" s="28" t="str">
        <f t="shared" si="50"/>
        <v/>
      </c>
      <c r="H2861" s="29"/>
      <c r="I2861" s="30"/>
      <c r="J2861" s="156">
        <v>0</v>
      </c>
    </row>
    <row r="2862" spans="1:10" ht="15.75" hidden="1" thickBot="1" x14ac:dyDescent="0.3">
      <c r="A2862" s="222"/>
      <c r="B2862" s="225"/>
      <c r="C2862" s="32"/>
      <c r="D2862" s="32"/>
      <c r="E2862" s="33"/>
      <c r="F2862" s="43" t="s">
        <v>572</v>
      </c>
      <c r="G2862" s="34" t="str">
        <f t="shared" si="50"/>
        <v/>
      </c>
      <c r="H2862" s="35"/>
      <c r="I2862" s="31"/>
      <c r="J2862" s="156">
        <v>0</v>
      </c>
    </row>
    <row r="2863" spans="1:10" ht="15.75" hidden="1" thickBot="1" x14ac:dyDescent="0.3">
      <c r="A2863" s="222"/>
      <c r="B2863" s="225"/>
      <c r="C2863" s="36" t="s">
        <v>68</v>
      </c>
      <c r="D2863" s="36" t="s">
        <v>12</v>
      </c>
      <c r="E2863" s="37">
        <v>0.2</v>
      </c>
      <c r="F2863" s="34">
        <v>20.539000000000001</v>
      </c>
      <c r="G2863" s="34">
        <f t="shared" si="50"/>
        <v>4.1078000000000001</v>
      </c>
      <c r="H2863" s="39">
        <f>SUM(G2863:G2864)</f>
        <v>10.972215</v>
      </c>
      <c r="I2863" s="40"/>
      <c r="J2863" s="156">
        <v>0</v>
      </c>
    </row>
    <row r="2864" spans="1:10" ht="15.75" hidden="1" thickBot="1" x14ac:dyDescent="0.3">
      <c r="A2864" s="222"/>
      <c r="B2864" s="225"/>
      <c r="C2864" s="36" t="s">
        <v>893</v>
      </c>
      <c r="D2864" s="36" t="s">
        <v>42</v>
      </c>
      <c r="E2864" s="37">
        <v>0.19</v>
      </c>
      <c r="F2864" s="31">
        <v>36.128500000000003</v>
      </c>
      <c r="G2864" s="34">
        <f t="shared" si="50"/>
        <v>6.8644150000000002</v>
      </c>
      <c r="H2864" s="35"/>
      <c r="I2864" s="31"/>
      <c r="J2864" s="156">
        <v>0</v>
      </c>
    </row>
    <row r="2865" spans="1:10" ht="15.75" hidden="1" thickBot="1" x14ac:dyDescent="0.3">
      <c r="A2865" s="222"/>
      <c r="B2865" s="225"/>
      <c r="C2865" s="36"/>
      <c r="D2865" s="36"/>
      <c r="E2865" s="37"/>
      <c r="F2865" s="31" t="s">
        <v>572</v>
      </c>
      <c r="G2865" s="34" t="str">
        <f t="shared" si="50"/>
        <v/>
      </c>
      <c r="H2865" s="35"/>
      <c r="I2865" s="31"/>
      <c r="J2865" s="156">
        <v>0</v>
      </c>
    </row>
    <row r="2866" spans="1:10" ht="26.25" hidden="1" thickBot="1" x14ac:dyDescent="0.3">
      <c r="A2866" s="222"/>
      <c r="B2866" s="225"/>
      <c r="C2866" s="48" t="s">
        <v>894</v>
      </c>
      <c r="D2866" s="36"/>
      <c r="E2866" s="37"/>
      <c r="F2866" s="31" t="s">
        <v>572</v>
      </c>
      <c r="G2866" s="34" t="str">
        <f t="shared" si="50"/>
        <v/>
      </c>
      <c r="H2866" s="35"/>
      <c r="I2866" s="31"/>
      <c r="J2866" s="156">
        <v>0</v>
      </c>
    </row>
    <row r="2867" spans="1:10" ht="39" hidden="1" thickBot="1" x14ac:dyDescent="0.3">
      <c r="A2867" s="222"/>
      <c r="B2867" s="225"/>
      <c r="C2867" s="52" t="s">
        <v>895</v>
      </c>
      <c r="D2867" s="65"/>
      <c r="E2867" s="37"/>
      <c r="F2867" s="31" t="s">
        <v>572</v>
      </c>
      <c r="G2867" s="34" t="str">
        <f t="shared" si="50"/>
        <v/>
      </c>
      <c r="H2867" s="35"/>
      <c r="I2867" s="31"/>
      <c r="J2867" s="156">
        <v>0</v>
      </c>
    </row>
    <row r="2868" spans="1:10" ht="15.75" hidden="1" thickBot="1" x14ac:dyDescent="0.3">
      <c r="A2868" s="223"/>
      <c r="B2868" s="226"/>
      <c r="C2868" s="36"/>
      <c r="D2868" s="36"/>
      <c r="E2868" s="37"/>
      <c r="F2868" s="31" t="s">
        <v>572</v>
      </c>
      <c r="G2868" s="34" t="str">
        <f t="shared" si="50"/>
        <v/>
      </c>
      <c r="H2868" s="35"/>
      <c r="I2868" s="31"/>
      <c r="J2868" s="156">
        <v>0</v>
      </c>
    </row>
    <row r="2869" spans="1:10" ht="15.75" hidden="1" thickBot="1" x14ac:dyDescent="0.3">
      <c r="A2869" s="221" t="s">
        <v>896</v>
      </c>
      <c r="B2869" s="224" t="str">
        <f>INDEX(Orçamentária!A:B,MATCH(Composições!A2869,Orçamentária!A:A,0),2)</f>
        <v>Trilho superior em alumínio 60mm x 49,5mm, para vidro temperado</v>
      </c>
      <c r="C2869" s="41"/>
      <c r="D2869" s="26" t="str">
        <f>TRIM(INDEX(Orçamentária!C:C,MATCH(Composições!A2869,Orçamentária!A:A,0),1))</f>
        <v>m</v>
      </c>
      <c r="E2869" s="27"/>
      <c r="F2869" s="42" t="s">
        <v>572</v>
      </c>
      <c r="G2869" s="28" t="str">
        <f t="shared" si="50"/>
        <v/>
      </c>
      <c r="H2869" s="29"/>
      <c r="I2869" s="30"/>
      <c r="J2869" s="156">
        <v>0</v>
      </c>
    </row>
    <row r="2870" spans="1:10" ht="15.75" hidden="1" thickBot="1" x14ac:dyDescent="0.3">
      <c r="A2870" s="227"/>
      <c r="B2870" s="225"/>
      <c r="C2870" s="32"/>
      <c r="D2870" s="32"/>
      <c r="E2870" s="33"/>
      <c r="F2870" s="43" t="s">
        <v>572</v>
      </c>
      <c r="G2870" s="34" t="str">
        <f t="shared" si="50"/>
        <v/>
      </c>
      <c r="H2870" s="35"/>
      <c r="I2870" s="31"/>
      <c r="J2870" s="156">
        <v>0</v>
      </c>
    </row>
    <row r="2871" spans="1:10" ht="15.75" hidden="1" thickBot="1" x14ac:dyDescent="0.3">
      <c r="A2871" s="227"/>
      <c r="B2871" s="225"/>
      <c r="C2871" s="36" t="s">
        <v>68</v>
      </c>
      <c r="D2871" s="36" t="s">
        <v>12</v>
      </c>
      <c r="E2871" s="37">
        <v>0.3</v>
      </c>
      <c r="F2871" s="34">
        <v>20.539000000000001</v>
      </c>
      <c r="G2871" s="34">
        <f t="shared" si="50"/>
        <v>6.1617000000000006</v>
      </c>
      <c r="H2871" s="39">
        <f>SUM(G2871:G2872)</f>
        <v>34.089030500000007</v>
      </c>
      <c r="I2871" s="40"/>
      <c r="J2871" s="156">
        <v>0</v>
      </c>
    </row>
    <row r="2872" spans="1:10" ht="15.75" hidden="1" thickBot="1" x14ac:dyDescent="0.3">
      <c r="A2872" s="227"/>
      <c r="B2872" s="225"/>
      <c r="C2872" s="36" t="s">
        <v>893</v>
      </c>
      <c r="D2872" s="47" t="s">
        <v>42</v>
      </c>
      <c r="E2872" s="37">
        <v>0.77300000000000002</v>
      </c>
      <c r="F2872" s="31">
        <v>36.128500000000003</v>
      </c>
      <c r="G2872" s="34">
        <f t="shared" si="50"/>
        <v>27.927330500000004</v>
      </c>
      <c r="H2872" s="35"/>
      <c r="I2872" s="31"/>
      <c r="J2872" s="156">
        <v>0</v>
      </c>
    </row>
    <row r="2873" spans="1:10" ht="15.75" hidden="1" thickBot="1" x14ac:dyDescent="0.3">
      <c r="A2873" s="227"/>
      <c r="B2873" s="225"/>
      <c r="C2873" s="36"/>
      <c r="D2873" s="47"/>
      <c r="E2873" s="37"/>
      <c r="F2873" s="31" t="s">
        <v>572</v>
      </c>
      <c r="G2873" s="34" t="str">
        <f t="shared" si="50"/>
        <v/>
      </c>
      <c r="H2873" s="35"/>
      <c r="I2873" s="31"/>
      <c r="J2873" s="156">
        <v>0</v>
      </c>
    </row>
    <row r="2874" spans="1:10" ht="26.25" hidden="1" thickBot="1" x14ac:dyDescent="0.3">
      <c r="A2874" s="227"/>
      <c r="B2874" s="225"/>
      <c r="C2874" s="48" t="s">
        <v>897</v>
      </c>
      <c r="D2874" s="47"/>
      <c r="E2874" s="37"/>
      <c r="F2874" s="31" t="s">
        <v>572</v>
      </c>
      <c r="G2874" s="34" t="str">
        <f t="shared" si="50"/>
        <v/>
      </c>
      <c r="H2874" s="35"/>
      <c r="I2874" s="31"/>
      <c r="J2874" s="156">
        <v>0</v>
      </c>
    </row>
    <row r="2875" spans="1:10" ht="26.25" hidden="1" thickBot="1" x14ac:dyDescent="0.3">
      <c r="A2875" s="227"/>
      <c r="B2875" s="225"/>
      <c r="C2875" s="52" t="s">
        <v>898</v>
      </c>
      <c r="D2875" s="47"/>
      <c r="E2875" s="37"/>
      <c r="F2875" s="31" t="s">
        <v>572</v>
      </c>
      <c r="G2875" s="34" t="str">
        <f t="shared" si="50"/>
        <v/>
      </c>
      <c r="H2875" s="35"/>
      <c r="I2875" s="31"/>
      <c r="J2875" s="156">
        <v>0</v>
      </c>
    </row>
    <row r="2876" spans="1:10" ht="15.75" hidden="1" thickBot="1" x14ac:dyDescent="0.3">
      <c r="A2876" s="228"/>
      <c r="B2876" s="226"/>
      <c r="C2876" s="36"/>
      <c r="D2876" s="36"/>
      <c r="E2876" s="37"/>
      <c r="F2876" s="31" t="s">
        <v>572</v>
      </c>
      <c r="G2876" s="34" t="str">
        <f t="shared" si="50"/>
        <v/>
      </c>
      <c r="H2876" s="35"/>
      <c r="I2876" s="31"/>
      <c r="J2876" s="156">
        <v>0</v>
      </c>
    </row>
    <row r="2877" spans="1:10" ht="15.75" hidden="1" thickBot="1" x14ac:dyDescent="0.3">
      <c r="A2877" s="221" t="s">
        <v>899</v>
      </c>
      <c r="B2877" s="224" t="str">
        <f>INDEX(Orçamentária!A:B,MATCH(Composições!A2877,Orçamentária!A:A,0),2)</f>
        <v>Perfil em alumínio para acabamento de trilho superior</v>
      </c>
      <c r="C2877" s="41"/>
      <c r="D2877" s="26" t="str">
        <f>TRIM(INDEX(Orçamentária!C:C,MATCH(Composições!A2877,Orçamentária!A:A,0),1))</f>
        <v>m</v>
      </c>
      <c r="E2877" s="27"/>
      <c r="F2877" s="42" t="s">
        <v>572</v>
      </c>
      <c r="G2877" s="28" t="str">
        <f t="shared" si="50"/>
        <v/>
      </c>
      <c r="H2877" s="29"/>
      <c r="I2877" s="30"/>
      <c r="J2877" s="156">
        <v>0</v>
      </c>
    </row>
    <row r="2878" spans="1:10" ht="15.75" hidden="1" thickBot="1" x14ac:dyDescent="0.3">
      <c r="A2878" s="227"/>
      <c r="B2878" s="225"/>
      <c r="C2878" s="32"/>
      <c r="D2878" s="32"/>
      <c r="E2878" s="33"/>
      <c r="F2878" s="43" t="s">
        <v>572</v>
      </c>
      <c r="G2878" s="34" t="str">
        <f t="shared" si="50"/>
        <v/>
      </c>
      <c r="H2878" s="35"/>
      <c r="I2878" s="31"/>
      <c r="J2878" s="156">
        <v>0</v>
      </c>
    </row>
    <row r="2879" spans="1:10" ht="15.75" hidden="1" thickBot="1" x14ac:dyDescent="0.3">
      <c r="A2879" s="227"/>
      <c r="B2879" s="225"/>
      <c r="C2879" s="36" t="s">
        <v>68</v>
      </c>
      <c r="D2879" s="36" t="s">
        <v>12</v>
      </c>
      <c r="E2879" s="37">
        <v>0.2</v>
      </c>
      <c r="F2879" s="34">
        <v>20.539000000000001</v>
      </c>
      <c r="G2879" s="34">
        <f t="shared" si="50"/>
        <v>4.1078000000000001</v>
      </c>
      <c r="H2879" s="39">
        <f>SUM(G2879:G2880)</f>
        <v>14.259908500000002</v>
      </c>
      <c r="I2879" s="40"/>
      <c r="J2879" s="156">
        <v>0</v>
      </c>
    </row>
    <row r="2880" spans="1:10" ht="15.75" hidden="1" thickBot="1" x14ac:dyDescent="0.3">
      <c r="A2880" s="227"/>
      <c r="B2880" s="225"/>
      <c r="C2880" s="36" t="s">
        <v>893</v>
      </c>
      <c r="D2880" s="36" t="s">
        <v>42</v>
      </c>
      <c r="E2880" s="37">
        <v>0.28100000000000003</v>
      </c>
      <c r="F2880" s="31">
        <v>36.128500000000003</v>
      </c>
      <c r="G2880" s="34">
        <f t="shared" si="50"/>
        <v>10.152108500000002</v>
      </c>
      <c r="H2880" s="35"/>
      <c r="I2880" s="31"/>
      <c r="J2880" s="156">
        <v>0</v>
      </c>
    </row>
    <row r="2881" spans="1:10" ht="15.75" hidden="1" thickBot="1" x14ac:dyDescent="0.3">
      <c r="A2881" s="227"/>
      <c r="B2881" s="225"/>
      <c r="C2881" s="36"/>
      <c r="D2881" s="47"/>
      <c r="E2881" s="37"/>
      <c r="F2881" s="31" t="s">
        <v>572</v>
      </c>
      <c r="G2881" s="34" t="str">
        <f t="shared" si="50"/>
        <v/>
      </c>
      <c r="H2881" s="35"/>
      <c r="I2881" s="31"/>
      <c r="J2881" s="156">
        <v>0</v>
      </c>
    </row>
    <row r="2882" spans="1:10" ht="26.25" hidden="1" thickBot="1" x14ac:dyDescent="0.3">
      <c r="A2882" s="227"/>
      <c r="B2882" s="225"/>
      <c r="C2882" s="48" t="s">
        <v>900</v>
      </c>
      <c r="D2882" s="47"/>
      <c r="E2882" s="37"/>
      <c r="F2882" s="31" t="s">
        <v>572</v>
      </c>
      <c r="G2882" s="34" t="str">
        <f t="shared" si="50"/>
        <v/>
      </c>
      <c r="H2882" s="35"/>
      <c r="I2882" s="31"/>
      <c r="J2882" s="156">
        <v>0</v>
      </c>
    </row>
    <row r="2883" spans="1:10" ht="26.25" hidden="1" thickBot="1" x14ac:dyDescent="0.3">
      <c r="A2883" s="227"/>
      <c r="B2883" s="225"/>
      <c r="C2883" s="52" t="s">
        <v>898</v>
      </c>
      <c r="D2883" s="47"/>
      <c r="E2883" s="37"/>
      <c r="F2883" s="31" t="s">
        <v>572</v>
      </c>
      <c r="G2883" s="34" t="str">
        <f t="shared" si="50"/>
        <v/>
      </c>
      <c r="H2883" s="35"/>
      <c r="I2883" s="31"/>
      <c r="J2883" s="156">
        <v>0</v>
      </c>
    </row>
    <row r="2884" spans="1:10" ht="15.75" hidden="1" thickBot="1" x14ac:dyDescent="0.3">
      <c r="A2884" s="228"/>
      <c r="B2884" s="226"/>
      <c r="C2884" s="36"/>
      <c r="D2884" s="36"/>
      <c r="E2884" s="37"/>
      <c r="F2884" s="31" t="s">
        <v>572</v>
      </c>
      <c r="G2884" s="34" t="str">
        <f t="shared" si="50"/>
        <v/>
      </c>
      <c r="H2884" s="35"/>
      <c r="I2884" s="31"/>
      <c r="J2884" s="156">
        <v>0</v>
      </c>
    </row>
    <row r="2885" spans="1:10" ht="15.75" hidden="1" thickBot="1" x14ac:dyDescent="0.3">
      <c r="A2885" s="221" t="s">
        <v>901</v>
      </c>
      <c r="B2885" s="224" t="str">
        <f>INDEX(Orçamentária!A:B,MATCH(Composições!A2885,Orçamentária!A:A,0),2)</f>
        <v>Perfil guia inferior de alumínio 39,3 mm x 24 mm para vidro temperado 10mm</v>
      </c>
      <c r="C2885" s="41"/>
      <c r="D2885" s="26" t="str">
        <f>TRIM(INDEX(Orçamentária!C:C,MATCH(Composições!A2885,Orçamentária!A:A,0),1))</f>
        <v>m</v>
      </c>
      <c r="E2885" s="27"/>
      <c r="F2885" s="42" t="s">
        <v>572</v>
      </c>
      <c r="G2885" s="28" t="str">
        <f t="shared" si="50"/>
        <v/>
      </c>
      <c r="H2885" s="29"/>
      <c r="I2885" s="30"/>
      <c r="J2885" s="156">
        <v>0</v>
      </c>
    </row>
    <row r="2886" spans="1:10" ht="15.75" hidden="1" thickBot="1" x14ac:dyDescent="0.3">
      <c r="A2886" s="227"/>
      <c r="B2886" s="225"/>
      <c r="C2886" s="32"/>
      <c r="D2886" s="32"/>
      <c r="E2886" s="33"/>
      <c r="F2886" s="43" t="s">
        <v>572</v>
      </c>
      <c r="G2886" s="34" t="str">
        <f t="shared" si="50"/>
        <v/>
      </c>
      <c r="H2886" s="35"/>
      <c r="I2886" s="31"/>
      <c r="J2886" s="156">
        <v>0</v>
      </c>
    </row>
    <row r="2887" spans="1:10" ht="15.75" hidden="1" thickBot="1" x14ac:dyDescent="0.3">
      <c r="A2887" s="227"/>
      <c r="B2887" s="225"/>
      <c r="C2887" s="36" t="s">
        <v>68</v>
      </c>
      <c r="D2887" s="47" t="s">
        <v>12</v>
      </c>
      <c r="E2887" s="37">
        <v>0.3</v>
      </c>
      <c r="F2887" s="34">
        <v>20.539000000000001</v>
      </c>
      <c r="G2887" s="34">
        <f t="shared" si="50"/>
        <v>6.1617000000000006</v>
      </c>
      <c r="H2887" s="39">
        <f>SUM(G2887:G2888)</f>
        <v>22.4556535</v>
      </c>
      <c r="I2887" s="40"/>
      <c r="J2887" s="156">
        <v>0</v>
      </c>
    </row>
    <row r="2888" spans="1:10" ht="15.75" hidden="1" thickBot="1" x14ac:dyDescent="0.3">
      <c r="A2888" s="227"/>
      <c r="B2888" s="225"/>
      <c r="C2888" s="36" t="s">
        <v>893</v>
      </c>
      <c r="D2888" s="36" t="s">
        <v>42</v>
      </c>
      <c r="E2888" s="37">
        <v>0.45100000000000001</v>
      </c>
      <c r="F2888" s="31">
        <v>36.128500000000003</v>
      </c>
      <c r="G2888" s="34">
        <f t="shared" si="50"/>
        <v>16.293953500000001</v>
      </c>
      <c r="H2888" s="35"/>
      <c r="I2888" s="31"/>
      <c r="J2888" s="156">
        <v>0</v>
      </c>
    </row>
    <row r="2889" spans="1:10" ht="15.75" hidden="1" thickBot="1" x14ac:dyDescent="0.3">
      <c r="A2889" s="227"/>
      <c r="B2889" s="225"/>
      <c r="C2889" s="36"/>
      <c r="D2889" s="47"/>
      <c r="E2889" s="37"/>
      <c r="F2889" s="31" t="s">
        <v>572</v>
      </c>
      <c r="G2889" s="34" t="str">
        <f t="shared" si="50"/>
        <v/>
      </c>
      <c r="H2889" s="35"/>
      <c r="I2889" s="31"/>
      <c r="J2889" s="156">
        <v>0</v>
      </c>
    </row>
    <row r="2890" spans="1:10" ht="26.25" hidden="1" thickBot="1" x14ac:dyDescent="0.3">
      <c r="A2890" s="227"/>
      <c r="B2890" s="225"/>
      <c r="C2890" s="48" t="s">
        <v>900</v>
      </c>
      <c r="D2890" s="47"/>
      <c r="E2890" s="37"/>
      <c r="F2890" s="31" t="s">
        <v>572</v>
      </c>
      <c r="G2890" s="34" t="str">
        <f t="shared" si="50"/>
        <v/>
      </c>
      <c r="H2890" s="35"/>
      <c r="I2890" s="31"/>
      <c r="J2890" s="156">
        <v>0</v>
      </c>
    </row>
    <row r="2891" spans="1:10" ht="26.25" hidden="1" thickBot="1" x14ac:dyDescent="0.3">
      <c r="A2891" s="227"/>
      <c r="B2891" s="225"/>
      <c r="C2891" s="52" t="s">
        <v>898</v>
      </c>
      <c r="D2891" s="47"/>
      <c r="E2891" s="37"/>
      <c r="F2891" s="31" t="s">
        <v>572</v>
      </c>
      <c r="G2891" s="34" t="str">
        <f t="shared" si="50"/>
        <v/>
      </c>
      <c r="H2891" s="35"/>
      <c r="I2891" s="31"/>
      <c r="J2891" s="156">
        <v>0</v>
      </c>
    </row>
    <row r="2892" spans="1:10" ht="15.75" hidden="1" thickBot="1" x14ac:dyDescent="0.3">
      <c r="A2892" s="228"/>
      <c r="B2892" s="226"/>
      <c r="C2892" s="36"/>
      <c r="D2892" s="36"/>
      <c r="E2892" s="37"/>
      <c r="F2892" s="31" t="s">
        <v>572</v>
      </c>
      <c r="G2892" s="34" t="str">
        <f t="shared" si="50"/>
        <v/>
      </c>
      <c r="H2892" s="35"/>
      <c r="I2892" s="31"/>
      <c r="J2892" s="156">
        <v>0</v>
      </c>
    </row>
    <row r="2893" spans="1:10" ht="15.75" hidden="1" thickBot="1" x14ac:dyDescent="0.3">
      <c r="A2893" s="221" t="s">
        <v>902</v>
      </c>
      <c r="B2893" s="224" t="str">
        <f>INDEX(Orçamentária!A:B,MATCH(Composições!A2893,Orçamentária!A:A,0),2)</f>
        <v>Capa do Perfil Guia Inferior “Click”</v>
      </c>
      <c r="C2893" s="41"/>
      <c r="D2893" s="26" t="str">
        <f>TRIM(INDEX(Orçamentária!C:C,MATCH(Composições!A2893,Orçamentária!A:A,0),1))</f>
        <v>m</v>
      </c>
      <c r="E2893" s="27"/>
      <c r="F2893" s="42" t="s">
        <v>572</v>
      </c>
      <c r="G2893" s="28" t="str">
        <f t="shared" si="50"/>
        <v/>
      </c>
      <c r="H2893" s="29"/>
      <c r="I2893" s="30"/>
      <c r="J2893" s="156">
        <v>0</v>
      </c>
    </row>
    <row r="2894" spans="1:10" ht="15.75" hidden="1" thickBot="1" x14ac:dyDescent="0.3">
      <c r="A2894" s="227"/>
      <c r="B2894" s="225"/>
      <c r="C2894" s="32"/>
      <c r="D2894" s="32"/>
      <c r="E2894" s="33"/>
      <c r="F2894" s="43" t="s">
        <v>572</v>
      </c>
      <c r="G2894" s="34" t="str">
        <f t="shared" si="50"/>
        <v/>
      </c>
      <c r="H2894" s="35"/>
      <c r="I2894" s="31"/>
      <c r="J2894" s="156">
        <v>0</v>
      </c>
    </row>
    <row r="2895" spans="1:10" ht="15.75" hidden="1" thickBot="1" x14ac:dyDescent="0.3">
      <c r="A2895" s="227"/>
      <c r="B2895" s="225"/>
      <c r="C2895" s="36" t="s">
        <v>68</v>
      </c>
      <c r="D2895" s="47" t="s">
        <v>12</v>
      </c>
      <c r="E2895" s="37">
        <v>0.15</v>
      </c>
      <c r="F2895" s="34">
        <v>20.539000000000001</v>
      </c>
      <c r="G2895" s="34">
        <f t="shared" si="50"/>
        <v>3.0808500000000003</v>
      </c>
      <c r="H2895" s="39">
        <f>SUM(G2895:G2896)</f>
        <v>7.0549850000000003</v>
      </c>
      <c r="I2895" s="40"/>
      <c r="J2895" s="156">
        <v>0</v>
      </c>
    </row>
    <row r="2896" spans="1:10" ht="15.75" hidden="1" thickBot="1" x14ac:dyDescent="0.3">
      <c r="A2896" s="227"/>
      <c r="B2896" s="225"/>
      <c r="C2896" s="36" t="s">
        <v>893</v>
      </c>
      <c r="D2896" s="47" t="s">
        <v>42</v>
      </c>
      <c r="E2896" s="37">
        <v>0.11</v>
      </c>
      <c r="F2896" s="31">
        <v>36.128500000000003</v>
      </c>
      <c r="G2896" s="34">
        <f t="shared" si="50"/>
        <v>3.9741350000000004</v>
      </c>
      <c r="H2896" s="35"/>
      <c r="I2896" s="31"/>
      <c r="J2896" s="156">
        <v>0</v>
      </c>
    </row>
    <row r="2897" spans="1:10" ht="15.75" hidden="1" thickBot="1" x14ac:dyDescent="0.3">
      <c r="A2897" s="227"/>
      <c r="B2897" s="225"/>
      <c r="C2897" s="36"/>
      <c r="D2897" s="47"/>
      <c r="E2897" s="37"/>
      <c r="F2897" s="31" t="s">
        <v>572</v>
      </c>
      <c r="G2897" s="34" t="str">
        <f t="shared" si="50"/>
        <v/>
      </c>
      <c r="H2897" s="35"/>
      <c r="I2897" s="31"/>
      <c r="J2897" s="156">
        <v>0</v>
      </c>
    </row>
    <row r="2898" spans="1:10" ht="26.25" hidden="1" thickBot="1" x14ac:dyDescent="0.3">
      <c r="A2898" s="227"/>
      <c r="B2898" s="225"/>
      <c r="C2898" s="48" t="s">
        <v>903</v>
      </c>
      <c r="D2898" s="47"/>
      <c r="E2898" s="37"/>
      <c r="F2898" s="31" t="s">
        <v>572</v>
      </c>
      <c r="G2898" s="34" t="str">
        <f t="shared" ref="G2898:G2961" si="51">IF(ISNUMBER(F2898),E2898*F2898,"")</f>
        <v/>
      </c>
      <c r="H2898" s="35"/>
      <c r="I2898" s="31"/>
      <c r="J2898" s="156">
        <v>0</v>
      </c>
    </row>
    <row r="2899" spans="1:10" ht="26.25" hidden="1" thickBot="1" x14ac:dyDescent="0.3">
      <c r="A2899" s="227"/>
      <c r="B2899" s="225"/>
      <c r="C2899" s="52" t="s">
        <v>898</v>
      </c>
      <c r="D2899" s="47"/>
      <c r="E2899" s="37"/>
      <c r="F2899" s="31" t="s">
        <v>572</v>
      </c>
      <c r="G2899" s="34" t="str">
        <f t="shared" si="51"/>
        <v/>
      </c>
      <c r="H2899" s="35"/>
      <c r="I2899" s="31"/>
      <c r="J2899" s="156">
        <v>0</v>
      </c>
    </row>
    <row r="2900" spans="1:10" ht="15.75" hidden="1" thickBot="1" x14ac:dyDescent="0.3">
      <c r="A2900" s="228"/>
      <c r="B2900" s="226"/>
      <c r="C2900" s="36"/>
      <c r="D2900" s="36"/>
      <c r="E2900" s="37"/>
      <c r="F2900" s="31" t="s">
        <v>572</v>
      </c>
      <c r="G2900" s="34" t="str">
        <f t="shared" si="51"/>
        <v/>
      </c>
      <c r="H2900" s="35"/>
      <c r="I2900" s="31"/>
      <c r="J2900" s="156">
        <v>0</v>
      </c>
    </row>
    <row r="2901" spans="1:10" ht="15.75" hidden="1" thickBot="1" x14ac:dyDescent="0.3">
      <c r="A2901" s="221" t="s">
        <v>904</v>
      </c>
      <c r="B2901" s="224" t="str">
        <f>INDEX(Orçamentária!A:B,MATCH(Composições!A2901,Orçamentária!A:A,0),2)</f>
        <v>Dobradiça inferior para porta de vidro temperado</v>
      </c>
      <c r="C2901" s="41"/>
      <c r="D2901" s="26" t="str">
        <f>TRIM(INDEX(Orçamentária!C:C,MATCH(Composições!A2901,Orçamentária!A:A,0),1))</f>
        <v>un</v>
      </c>
      <c r="E2901" s="27"/>
      <c r="F2901" s="42" t="s">
        <v>572</v>
      </c>
      <c r="G2901" s="28" t="str">
        <f t="shared" si="51"/>
        <v/>
      </c>
      <c r="H2901" s="29"/>
      <c r="I2901" s="30"/>
      <c r="J2901" s="156">
        <v>0</v>
      </c>
    </row>
    <row r="2902" spans="1:10" ht="15.75" hidden="1" thickBot="1" x14ac:dyDescent="0.3">
      <c r="A2902" s="222"/>
      <c r="B2902" s="225"/>
      <c r="C2902" s="32"/>
      <c r="D2902" s="32"/>
      <c r="E2902" s="33"/>
      <c r="F2902" s="43" t="s">
        <v>572</v>
      </c>
      <c r="G2902" s="34" t="str">
        <f t="shared" si="51"/>
        <v/>
      </c>
      <c r="H2902" s="35"/>
      <c r="I2902" s="31"/>
      <c r="J2902" s="156">
        <v>0</v>
      </c>
    </row>
    <row r="2903" spans="1:10" ht="15.75" hidden="1" thickBot="1" x14ac:dyDescent="0.3">
      <c r="A2903" s="222"/>
      <c r="B2903" s="225"/>
      <c r="C2903" s="36" t="s">
        <v>68</v>
      </c>
      <c r="D2903" s="47" t="s">
        <v>12</v>
      </c>
      <c r="E2903" s="37">
        <v>0.3</v>
      </c>
      <c r="F2903" s="34">
        <v>20.539000000000001</v>
      </c>
      <c r="G2903" s="34">
        <f t="shared" si="51"/>
        <v>6.1617000000000006</v>
      </c>
      <c r="H2903" s="39">
        <f>SUM(G2903:G2904)</f>
        <v>7.1117000000000008</v>
      </c>
      <c r="I2903" s="40"/>
      <c r="J2903" s="156">
        <v>0</v>
      </c>
    </row>
    <row r="2904" spans="1:10" ht="26.25" hidden="1" thickBot="1" x14ac:dyDescent="0.3">
      <c r="A2904" s="222"/>
      <c r="B2904" s="225"/>
      <c r="C2904" s="36" t="s">
        <v>905</v>
      </c>
      <c r="D2904" s="36" t="s">
        <v>20</v>
      </c>
      <c r="E2904" s="37">
        <v>1</v>
      </c>
      <c r="F2904" s="31">
        <v>0.95</v>
      </c>
      <c r="G2904" s="34">
        <f t="shared" si="51"/>
        <v>0.95</v>
      </c>
      <c r="H2904" s="35"/>
      <c r="I2904" s="31"/>
      <c r="J2904" s="156">
        <v>0</v>
      </c>
    </row>
    <row r="2905" spans="1:10" ht="15.75" hidden="1" thickBot="1" x14ac:dyDescent="0.3">
      <c r="A2905" s="223"/>
      <c r="B2905" s="226"/>
      <c r="C2905" s="36"/>
      <c r="D2905" s="36"/>
      <c r="E2905" s="37"/>
      <c r="F2905" s="31" t="s">
        <v>572</v>
      </c>
      <c r="G2905" s="34" t="str">
        <f t="shared" si="51"/>
        <v/>
      </c>
      <c r="H2905" s="35"/>
      <c r="I2905" s="31"/>
      <c r="J2905" s="156">
        <v>0</v>
      </c>
    </row>
    <row r="2906" spans="1:10" ht="15.75" hidden="1" thickBot="1" x14ac:dyDescent="0.3">
      <c r="A2906" s="221" t="s">
        <v>906</v>
      </c>
      <c r="B2906" s="224" t="str">
        <f>INDEX(Orçamentária!A:B,MATCH(Composições!A2906,Orçamentária!A:A,0),2)</f>
        <v>Escova de vedação para vidro temperado</v>
      </c>
      <c r="C2906" s="41"/>
      <c r="D2906" s="26" t="str">
        <f>TRIM(INDEX(Orçamentária!C:C,MATCH(Composições!A2906,Orçamentária!A:A,0),1))</f>
        <v>m</v>
      </c>
      <c r="E2906" s="27"/>
      <c r="F2906" s="42" t="s">
        <v>572</v>
      </c>
      <c r="G2906" s="28" t="str">
        <f t="shared" si="51"/>
        <v/>
      </c>
      <c r="H2906" s="29"/>
      <c r="I2906" s="30"/>
      <c r="J2906" s="156">
        <v>0</v>
      </c>
    </row>
    <row r="2907" spans="1:10" ht="15.75" hidden="1" thickBot="1" x14ac:dyDescent="0.3">
      <c r="A2907" s="222"/>
      <c r="B2907" s="225"/>
      <c r="C2907" s="32"/>
      <c r="D2907" s="32"/>
      <c r="E2907" s="33"/>
      <c r="F2907" s="43" t="s">
        <v>572</v>
      </c>
      <c r="G2907" s="34" t="str">
        <f t="shared" si="51"/>
        <v/>
      </c>
      <c r="H2907" s="35"/>
      <c r="I2907" s="31"/>
      <c r="J2907" s="156">
        <v>0</v>
      </c>
    </row>
    <row r="2908" spans="1:10" ht="15.75" hidden="1" thickBot="1" x14ac:dyDescent="0.3">
      <c r="A2908" s="222"/>
      <c r="B2908" s="225"/>
      <c r="C2908" s="36" t="s">
        <v>68</v>
      </c>
      <c r="D2908" s="47" t="s">
        <v>12</v>
      </c>
      <c r="E2908" s="37">
        <v>0.3</v>
      </c>
      <c r="F2908" s="34">
        <v>20.539000000000001</v>
      </c>
      <c r="G2908" s="34">
        <f t="shared" si="51"/>
        <v>6.1617000000000006</v>
      </c>
      <c r="H2908" s="39">
        <f>SUM(G2908:G2909)</f>
        <v>6.1617000000000006</v>
      </c>
      <c r="I2908" s="40"/>
      <c r="J2908" s="156">
        <v>0</v>
      </c>
    </row>
    <row r="2909" spans="1:10" ht="51.75" hidden="1" thickBot="1" x14ac:dyDescent="0.3">
      <c r="A2909" s="222"/>
      <c r="B2909" s="225"/>
      <c r="C2909" s="36" t="s">
        <v>907</v>
      </c>
      <c r="D2909" s="36" t="s">
        <v>20</v>
      </c>
      <c r="E2909" s="37">
        <v>1</v>
      </c>
      <c r="F2909" s="31" t="s">
        <v>572</v>
      </c>
      <c r="G2909" s="34" t="str">
        <f t="shared" si="51"/>
        <v/>
      </c>
      <c r="H2909" s="35"/>
      <c r="I2909" s="31"/>
      <c r="J2909" s="156">
        <v>0</v>
      </c>
    </row>
    <row r="2910" spans="1:10" ht="15.75" hidden="1" thickBot="1" x14ac:dyDescent="0.3">
      <c r="A2910" s="223"/>
      <c r="B2910" s="226"/>
      <c r="C2910" s="36"/>
      <c r="D2910" s="36"/>
      <c r="E2910" s="37"/>
      <c r="F2910" s="31" t="s">
        <v>572</v>
      </c>
      <c r="G2910" s="34" t="str">
        <f t="shared" si="51"/>
        <v/>
      </c>
      <c r="H2910" s="35"/>
      <c r="I2910" s="31"/>
      <c r="J2910" s="156">
        <v>0</v>
      </c>
    </row>
    <row r="2911" spans="1:10" ht="15.75" hidden="1" thickBot="1" x14ac:dyDescent="0.3">
      <c r="A2911" s="221" t="s">
        <v>908</v>
      </c>
      <c r="B2911" s="224" t="str">
        <f>INDEX(Orçamentária!A:B,MATCH(Composições!A2911,Orçamentária!A:A,0),2)</f>
        <v>Roldana simples para porta de correr em vidro temperado</v>
      </c>
      <c r="C2911" s="41"/>
      <c r="D2911" s="26" t="str">
        <f>TRIM(INDEX(Orçamentária!C:C,MATCH(Composições!A2911,Orçamentária!A:A,0),1))</f>
        <v>un</v>
      </c>
      <c r="E2911" s="27"/>
      <c r="F2911" s="42" t="s">
        <v>572</v>
      </c>
      <c r="G2911" s="28" t="str">
        <f t="shared" si="51"/>
        <v/>
      </c>
      <c r="H2911" s="29"/>
      <c r="I2911" s="30"/>
      <c r="J2911" s="156">
        <v>0</v>
      </c>
    </row>
    <row r="2912" spans="1:10" ht="15.75" hidden="1" thickBot="1" x14ac:dyDescent="0.3">
      <c r="A2912" s="222"/>
      <c r="B2912" s="225"/>
      <c r="C2912" s="32"/>
      <c r="D2912" s="32"/>
      <c r="E2912" s="33"/>
      <c r="F2912" s="43" t="s">
        <v>572</v>
      </c>
      <c r="G2912" s="34" t="str">
        <f t="shared" si="51"/>
        <v/>
      </c>
      <c r="H2912" s="35"/>
      <c r="I2912" s="31"/>
      <c r="J2912" s="156">
        <v>0</v>
      </c>
    </row>
    <row r="2913" spans="1:10" ht="15.75" hidden="1" thickBot="1" x14ac:dyDescent="0.3">
      <c r="A2913" s="222"/>
      <c r="B2913" s="225"/>
      <c r="C2913" s="36" t="s">
        <v>68</v>
      </c>
      <c r="D2913" s="36" t="s">
        <v>12</v>
      </c>
      <c r="E2913" s="37">
        <v>0.15</v>
      </c>
      <c r="F2913" s="34">
        <v>20.539000000000001</v>
      </c>
      <c r="G2913" s="34">
        <f t="shared" si="51"/>
        <v>3.0808500000000003</v>
      </c>
      <c r="H2913" s="39">
        <f>SUM(G2913:G2914)</f>
        <v>3.0808500000000003</v>
      </c>
      <c r="I2913" s="40"/>
      <c r="J2913" s="156">
        <v>0</v>
      </c>
    </row>
    <row r="2914" spans="1:10" ht="26.25" hidden="1" thickBot="1" x14ac:dyDescent="0.3">
      <c r="A2914" s="222"/>
      <c r="B2914" s="225"/>
      <c r="C2914" s="36" t="s">
        <v>909</v>
      </c>
      <c r="D2914" s="36" t="s">
        <v>20</v>
      </c>
      <c r="E2914" s="37">
        <v>1</v>
      </c>
      <c r="F2914" s="31" t="s">
        <v>572</v>
      </c>
      <c r="G2914" s="34" t="str">
        <f t="shared" si="51"/>
        <v/>
      </c>
      <c r="H2914" s="35"/>
      <c r="I2914" s="31"/>
      <c r="J2914" s="156">
        <v>0</v>
      </c>
    </row>
    <row r="2915" spans="1:10" ht="15.75" hidden="1" thickBot="1" x14ac:dyDescent="0.3">
      <c r="A2915" s="223"/>
      <c r="B2915" s="226"/>
      <c r="C2915" s="36"/>
      <c r="D2915" s="36"/>
      <c r="E2915" s="37"/>
      <c r="F2915" s="31" t="s">
        <v>572</v>
      </c>
      <c r="G2915" s="34" t="str">
        <f t="shared" si="51"/>
        <v/>
      </c>
      <c r="H2915" s="35"/>
      <c r="I2915" s="31"/>
      <c r="J2915" s="156">
        <v>0</v>
      </c>
    </row>
    <row r="2916" spans="1:10" ht="15.75" hidden="1" thickBot="1" x14ac:dyDescent="0.3">
      <c r="A2916" s="221" t="s">
        <v>910</v>
      </c>
      <c r="B2916" s="224" t="str">
        <f>INDEX(Orçamentária!A:B,MATCH(Composições!A2916,Orçamentária!A:A,0),2)</f>
        <v>Roldana dupla para porta de correr em vidro temperado</v>
      </c>
      <c r="C2916" s="41"/>
      <c r="D2916" s="26" t="str">
        <f>TRIM(INDEX(Orçamentária!C:C,MATCH(Composições!A2916,Orçamentária!A:A,0),1))</f>
        <v>un</v>
      </c>
      <c r="E2916" s="27"/>
      <c r="F2916" s="42" t="s">
        <v>572</v>
      </c>
      <c r="G2916" s="28" t="str">
        <f t="shared" si="51"/>
        <v/>
      </c>
      <c r="H2916" s="29"/>
      <c r="I2916" s="30"/>
      <c r="J2916" s="156">
        <v>0</v>
      </c>
    </row>
    <row r="2917" spans="1:10" ht="15.75" hidden="1" thickBot="1" x14ac:dyDescent="0.3">
      <c r="A2917" s="222"/>
      <c r="B2917" s="225"/>
      <c r="C2917" s="32"/>
      <c r="D2917" s="32"/>
      <c r="E2917" s="33"/>
      <c r="F2917" s="43" t="s">
        <v>572</v>
      </c>
      <c r="G2917" s="34" t="str">
        <f t="shared" si="51"/>
        <v/>
      </c>
      <c r="H2917" s="35"/>
      <c r="I2917" s="31"/>
      <c r="J2917" s="156">
        <v>0</v>
      </c>
    </row>
    <row r="2918" spans="1:10" ht="15.75" hidden="1" thickBot="1" x14ac:dyDescent="0.3">
      <c r="A2918" s="222"/>
      <c r="B2918" s="225"/>
      <c r="C2918" s="36" t="s">
        <v>68</v>
      </c>
      <c r="D2918" s="36" t="s">
        <v>12</v>
      </c>
      <c r="E2918" s="37">
        <v>0.15</v>
      </c>
      <c r="F2918" s="34">
        <v>20.539000000000001</v>
      </c>
      <c r="G2918" s="34">
        <f t="shared" si="51"/>
        <v>3.0808500000000003</v>
      </c>
      <c r="H2918" s="39">
        <f>SUM(G2918:G2919)</f>
        <v>3.0808500000000003</v>
      </c>
      <c r="I2918" s="40"/>
      <c r="J2918" s="156">
        <v>0</v>
      </c>
    </row>
    <row r="2919" spans="1:10" ht="26.25" hidden="1" thickBot="1" x14ac:dyDescent="0.3">
      <c r="A2919" s="222"/>
      <c r="B2919" s="225"/>
      <c r="C2919" s="36" t="s">
        <v>911</v>
      </c>
      <c r="D2919" s="36" t="s">
        <v>20</v>
      </c>
      <c r="E2919" s="37">
        <v>1</v>
      </c>
      <c r="F2919" s="31" t="s">
        <v>572</v>
      </c>
      <c r="G2919" s="34" t="str">
        <f t="shared" si="51"/>
        <v/>
      </c>
      <c r="H2919" s="35"/>
      <c r="I2919" s="31"/>
      <c r="J2919" s="156">
        <v>0</v>
      </c>
    </row>
    <row r="2920" spans="1:10" ht="15.75" hidden="1" thickBot="1" x14ac:dyDescent="0.3">
      <c r="A2920" s="223"/>
      <c r="B2920" s="226"/>
      <c r="C2920" s="36"/>
      <c r="D2920" s="36"/>
      <c r="E2920" s="37"/>
      <c r="F2920" s="31" t="s">
        <v>572</v>
      </c>
      <c r="G2920" s="34" t="str">
        <f t="shared" si="51"/>
        <v/>
      </c>
      <c r="H2920" s="35"/>
      <c r="I2920" s="31"/>
      <c r="J2920" s="156">
        <v>0</v>
      </c>
    </row>
    <row r="2921" spans="1:10" ht="15.75" hidden="1" thickBot="1" x14ac:dyDescent="0.3">
      <c r="A2921" s="221" t="s">
        <v>912</v>
      </c>
      <c r="B2921" s="224" t="str">
        <f>INDEX(Orçamentária!A:B,MATCH(Composições!A2921,Orçamentária!A:A,0),2)</f>
        <v>Capuchinho para trinco para vidro temperado</v>
      </c>
      <c r="C2921" s="41"/>
      <c r="D2921" s="26" t="str">
        <f>TRIM(INDEX(Orçamentária!C:C,MATCH(Composições!A2921,Orçamentária!A:A,0),1))</f>
        <v>un</v>
      </c>
      <c r="E2921" s="27"/>
      <c r="F2921" s="42" t="s">
        <v>572</v>
      </c>
      <c r="G2921" s="28" t="str">
        <f t="shared" si="51"/>
        <v/>
      </c>
      <c r="H2921" s="29"/>
      <c r="I2921" s="30"/>
      <c r="J2921" s="156">
        <v>0</v>
      </c>
    </row>
    <row r="2922" spans="1:10" ht="15.75" hidden="1" thickBot="1" x14ac:dyDescent="0.3">
      <c r="A2922" s="222"/>
      <c r="B2922" s="225"/>
      <c r="C2922" s="32"/>
      <c r="D2922" s="32"/>
      <c r="E2922" s="33"/>
      <c r="F2922" s="43" t="s">
        <v>572</v>
      </c>
      <c r="G2922" s="34" t="str">
        <f t="shared" si="51"/>
        <v/>
      </c>
      <c r="H2922" s="35"/>
      <c r="I2922" s="31"/>
      <c r="J2922" s="156">
        <v>0</v>
      </c>
    </row>
    <row r="2923" spans="1:10" ht="15.75" hidden="1" thickBot="1" x14ac:dyDescent="0.3">
      <c r="A2923" s="222"/>
      <c r="B2923" s="225"/>
      <c r="C2923" s="36" t="s">
        <v>68</v>
      </c>
      <c r="D2923" s="36" t="s">
        <v>12</v>
      </c>
      <c r="E2923" s="37">
        <v>0.1</v>
      </c>
      <c r="F2923" s="34">
        <v>20.539000000000001</v>
      </c>
      <c r="G2923" s="34">
        <f t="shared" si="51"/>
        <v>2.0539000000000001</v>
      </c>
      <c r="H2923" s="39">
        <f>SUM(G2923:G2924)</f>
        <v>3.0038999999999998</v>
      </c>
      <c r="I2923" s="40"/>
      <c r="J2923" s="156">
        <v>0</v>
      </c>
    </row>
    <row r="2924" spans="1:10" ht="39" hidden="1" thickBot="1" x14ac:dyDescent="0.3">
      <c r="A2924" s="222"/>
      <c r="B2924" s="225"/>
      <c r="C2924" s="36" t="s">
        <v>913</v>
      </c>
      <c r="D2924" s="36" t="s">
        <v>20</v>
      </c>
      <c r="E2924" s="37">
        <v>1</v>
      </c>
      <c r="F2924" s="31">
        <v>0.95</v>
      </c>
      <c r="G2924" s="34">
        <f t="shared" si="51"/>
        <v>0.95</v>
      </c>
      <c r="H2924" s="35"/>
      <c r="I2924" s="31"/>
      <c r="J2924" s="156">
        <v>0</v>
      </c>
    </row>
    <row r="2925" spans="1:10" ht="15.75" hidden="1" thickBot="1" x14ac:dyDescent="0.3">
      <c r="A2925" s="223"/>
      <c r="B2925" s="226"/>
      <c r="C2925" s="36"/>
      <c r="D2925" s="36"/>
      <c r="E2925" s="37"/>
      <c r="F2925" s="31" t="s">
        <v>572</v>
      </c>
      <c r="G2925" s="34" t="str">
        <f t="shared" si="51"/>
        <v/>
      </c>
      <c r="H2925" s="35"/>
      <c r="I2925" s="31"/>
      <c r="J2925" s="156">
        <v>0</v>
      </c>
    </row>
    <row r="2926" spans="1:10" ht="15.75" hidden="1" thickBot="1" x14ac:dyDescent="0.3">
      <c r="A2926" s="221" t="s">
        <v>914</v>
      </c>
      <c r="B2926" s="224" t="str">
        <f>INDEX(Orçamentária!A:B,MATCH(Composições!A2926,Orçamentária!A:A,0),2)</f>
        <v>Facão simples para lateral e bandeira de vidro temperado</v>
      </c>
      <c r="C2926" s="41"/>
      <c r="D2926" s="26" t="str">
        <f>TRIM(INDEX(Orçamentária!C:C,MATCH(Composições!A2926,Orçamentária!A:A,0),1))</f>
        <v>un</v>
      </c>
      <c r="E2926" s="27"/>
      <c r="F2926" s="42" t="s">
        <v>572</v>
      </c>
      <c r="G2926" s="28" t="str">
        <f t="shared" si="51"/>
        <v/>
      </c>
      <c r="H2926" s="29"/>
      <c r="I2926" s="30"/>
      <c r="J2926" s="156">
        <v>0</v>
      </c>
    </row>
    <row r="2927" spans="1:10" ht="15.75" hidden="1" thickBot="1" x14ac:dyDescent="0.3">
      <c r="A2927" s="222"/>
      <c r="B2927" s="225"/>
      <c r="C2927" s="32"/>
      <c r="D2927" s="32"/>
      <c r="E2927" s="33"/>
      <c r="F2927" s="43" t="s">
        <v>572</v>
      </c>
      <c r="G2927" s="34" t="str">
        <f t="shared" si="51"/>
        <v/>
      </c>
      <c r="H2927" s="35"/>
      <c r="I2927" s="31"/>
      <c r="J2927" s="156">
        <v>0</v>
      </c>
    </row>
    <row r="2928" spans="1:10" ht="15.75" hidden="1" thickBot="1" x14ac:dyDescent="0.3">
      <c r="A2928" s="222"/>
      <c r="B2928" s="225"/>
      <c r="C2928" s="36" t="s">
        <v>68</v>
      </c>
      <c r="D2928" s="36" t="s">
        <v>12</v>
      </c>
      <c r="E2928" s="37">
        <v>0.4</v>
      </c>
      <c r="F2928" s="34">
        <v>20.539000000000001</v>
      </c>
      <c r="G2928" s="34">
        <f t="shared" si="51"/>
        <v>8.2156000000000002</v>
      </c>
      <c r="H2928" s="39">
        <f>SUM(G2928:G2929)</f>
        <v>9.1655999999999995</v>
      </c>
      <c r="I2928" s="40"/>
      <c r="J2928" s="156">
        <v>0</v>
      </c>
    </row>
    <row r="2929" spans="1:10" ht="39" hidden="1" thickBot="1" x14ac:dyDescent="0.3">
      <c r="A2929" s="222"/>
      <c r="B2929" s="225"/>
      <c r="C2929" s="36" t="s">
        <v>915</v>
      </c>
      <c r="D2929" s="36" t="s">
        <v>20</v>
      </c>
      <c r="E2929" s="37">
        <v>1</v>
      </c>
      <c r="F2929" s="31">
        <v>0.95</v>
      </c>
      <c r="G2929" s="34">
        <f t="shared" si="51"/>
        <v>0.95</v>
      </c>
      <c r="H2929" s="35"/>
      <c r="I2929" s="31"/>
      <c r="J2929" s="156">
        <v>0</v>
      </c>
    </row>
    <row r="2930" spans="1:10" ht="15.75" hidden="1" thickBot="1" x14ac:dyDescent="0.3">
      <c r="A2930" s="223"/>
      <c r="B2930" s="226"/>
      <c r="C2930" s="36"/>
      <c r="D2930" s="36"/>
      <c r="E2930" s="37"/>
      <c r="F2930" s="31" t="s">
        <v>572</v>
      </c>
      <c r="G2930" s="34" t="str">
        <f t="shared" si="51"/>
        <v/>
      </c>
      <c r="H2930" s="35"/>
      <c r="I2930" s="31"/>
      <c r="J2930" s="156">
        <v>0</v>
      </c>
    </row>
    <row r="2931" spans="1:10" ht="15.75" hidden="1" thickBot="1" x14ac:dyDescent="0.3">
      <c r="A2931" s="221" t="s">
        <v>916</v>
      </c>
      <c r="B2931" s="224" t="str">
        <f>INDEX(Orçamentária!A:B,MATCH(Composições!A2931,Orçamentária!A:A,0),2)</f>
        <v>Fechadura de pressão para porta de abrir em vidro temperado</v>
      </c>
      <c r="C2931" s="41"/>
      <c r="D2931" s="26" t="str">
        <f>TRIM(INDEX(Orçamentária!C:C,MATCH(Composições!A2931,Orçamentária!A:A,0),1))</f>
        <v>un</v>
      </c>
      <c r="E2931" s="27"/>
      <c r="F2931" s="42" t="s">
        <v>572</v>
      </c>
      <c r="G2931" s="28" t="str">
        <f t="shared" si="51"/>
        <v/>
      </c>
      <c r="H2931" s="29"/>
      <c r="I2931" s="30"/>
      <c r="J2931" s="156">
        <v>0</v>
      </c>
    </row>
    <row r="2932" spans="1:10" ht="15.75" hidden="1" thickBot="1" x14ac:dyDescent="0.3">
      <c r="A2932" s="222"/>
      <c r="B2932" s="225"/>
      <c r="C2932" s="32"/>
      <c r="D2932" s="32"/>
      <c r="E2932" s="33"/>
      <c r="F2932" s="43" t="s">
        <v>572</v>
      </c>
      <c r="G2932" s="34" t="str">
        <f t="shared" si="51"/>
        <v/>
      </c>
      <c r="H2932" s="35"/>
      <c r="I2932" s="31"/>
      <c r="J2932" s="156">
        <v>0</v>
      </c>
    </row>
    <row r="2933" spans="1:10" ht="15.75" hidden="1" thickBot="1" x14ac:dyDescent="0.3">
      <c r="A2933" s="222"/>
      <c r="B2933" s="225"/>
      <c r="C2933" s="36" t="s">
        <v>68</v>
      </c>
      <c r="D2933" s="36" t="s">
        <v>12</v>
      </c>
      <c r="E2933" s="37">
        <v>0.4</v>
      </c>
      <c r="F2933" s="34">
        <v>20.539000000000001</v>
      </c>
      <c r="G2933" s="34">
        <f t="shared" si="51"/>
        <v>8.2156000000000002</v>
      </c>
      <c r="H2933" s="39">
        <f>SUM(G2933:G2934)</f>
        <v>8.2156000000000002</v>
      </c>
      <c r="I2933" s="40"/>
      <c r="J2933" s="156">
        <v>0</v>
      </c>
    </row>
    <row r="2934" spans="1:10" ht="39" hidden="1" thickBot="1" x14ac:dyDescent="0.3">
      <c r="A2934" s="222"/>
      <c r="B2934" s="225"/>
      <c r="C2934" s="36" t="s">
        <v>917</v>
      </c>
      <c r="D2934" s="36" t="s">
        <v>20</v>
      </c>
      <c r="E2934" s="37">
        <v>1</v>
      </c>
      <c r="F2934" s="31" t="s">
        <v>572</v>
      </c>
      <c r="G2934" s="34" t="str">
        <f t="shared" si="51"/>
        <v/>
      </c>
      <c r="H2934" s="35"/>
      <c r="I2934" s="31"/>
      <c r="J2934" s="156">
        <v>0</v>
      </c>
    </row>
    <row r="2935" spans="1:10" ht="15.75" hidden="1" thickBot="1" x14ac:dyDescent="0.3">
      <c r="A2935" s="223"/>
      <c r="B2935" s="226"/>
      <c r="C2935" s="36"/>
      <c r="D2935" s="36"/>
      <c r="E2935" s="37"/>
      <c r="F2935" s="31" t="s">
        <v>572</v>
      </c>
      <c r="G2935" s="34" t="str">
        <f t="shared" si="51"/>
        <v/>
      </c>
      <c r="H2935" s="35"/>
      <c r="I2935" s="31"/>
      <c r="J2935" s="156">
        <v>0</v>
      </c>
    </row>
    <row r="2936" spans="1:10" ht="15.75" hidden="1" thickBot="1" x14ac:dyDescent="0.3">
      <c r="A2936" s="221" t="s">
        <v>918</v>
      </c>
      <c r="B2936" s="224" t="str">
        <f>INDEX(Orçamentária!A:B,MATCH(Composições!A2936,Orçamentária!A:A,0),2)</f>
        <v>Suporte de união, com miolo, para vidro temperado</v>
      </c>
      <c r="C2936" s="41"/>
      <c r="D2936" s="26" t="str">
        <f>TRIM(INDEX(Orçamentária!C:C,MATCH(Composições!A2936,Orçamentária!A:A,0),1))</f>
        <v>un</v>
      </c>
      <c r="E2936" s="27"/>
      <c r="F2936" s="42" t="s">
        <v>572</v>
      </c>
      <c r="G2936" s="28" t="str">
        <f t="shared" si="51"/>
        <v/>
      </c>
      <c r="H2936" s="29"/>
      <c r="I2936" s="30"/>
      <c r="J2936" s="156">
        <v>0</v>
      </c>
    </row>
    <row r="2937" spans="1:10" ht="15.75" hidden="1" thickBot="1" x14ac:dyDescent="0.3">
      <c r="A2937" s="222"/>
      <c r="B2937" s="225"/>
      <c r="C2937" s="32"/>
      <c r="D2937" s="32"/>
      <c r="E2937" s="33"/>
      <c r="F2937" s="43" t="s">
        <v>572</v>
      </c>
      <c r="G2937" s="34" t="str">
        <f t="shared" si="51"/>
        <v/>
      </c>
      <c r="H2937" s="35"/>
      <c r="I2937" s="31"/>
      <c r="J2937" s="156">
        <v>0</v>
      </c>
    </row>
    <row r="2938" spans="1:10" ht="15.75" hidden="1" thickBot="1" x14ac:dyDescent="0.3">
      <c r="A2938" s="222"/>
      <c r="B2938" s="225"/>
      <c r="C2938" s="36" t="s">
        <v>68</v>
      </c>
      <c r="D2938" s="36" t="s">
        <v>12</v>
      </c>
      <c r="E2938" s="37">
        <v>0.3</v>
      </c>
      <c r="F2938" s="34">
        <v>20.539000000000001</v>
      </c>
      <c r="G2938" s="34">
        <f t="shared" si="51"/>
        <v>6.1617000000000006</v>
      </c>
      <c r="H2938" s="39">
        <f>SUM(G2938:G2939)</f>
        <v>7.1117000000000008</v>
      </c>
      <c r="I2938" s="40"/>
      <c r="J2938" s="156">
        <v>0</v>
      </c>
    </row>
    <row r="2939" spans="1:10" ht="26.25" hidden="1" thickBot="1" x14ac:dyDescent="0.3">
      <c r="A2939" s="222"/>
      <c r="B2939" s="225"/>
      <c r="C2939" s="36" t="s">
        <v>919</v>
      </c>
      <c r="D2939" s="36" t="s">
        <v>20</v>
      </c>
      <c r="E2939" s="37">
        <v>1</v>
      </c>
      <c r="F2939" s="31">
        <v>0.95</v>
      </c>
      <c r="G2939" s="34">
        <f t="shared" si="51"/>
        <v>0.95</v>
      </c>
      <c r="H2939" s="35"/>
      <c r="I2939" s="31"/>
      <c r="J2939" s="156">
        <v>0</v>
      </c>
    </row>
    <row r="2940" spans="1:10" ht="15.75" hidden="1" thickBot="1" x14ac:dyDescent="0.3">
      <c r="A2940" s="223"/>
      <c r="B2940" s="226"/>
      <c r="C2940" s="36"/>
      <c r="D2940" s="36"/>
      <c r="E2940" s="37"/>
      <c r="F2940" s="31" t="s">
        <v>572</v>
      </c>
      <c r="G2940" s="34" t="str">
        <f t="shared" si="51"/>
        <v/>
      </c>
      <c r="H2940" s="35"/>
      <c r="I2940" s="31"/>
      <c r="J2940" s="156">
        <v>0</v>
      </c>
    </row>
    <row r="2941" spans="1:10" ht="15.75" hidden="1" thickBot="1" x14ac:dyDescent="0.3">
      <c r="A2941" s="221" t="s">
        <v>920</v>
      </c>
      <c r="B2941" s="224" t="str">
        <f>INDEX(Orçamentária!A:B,MATCH(Composições!A2941,Orçamentária!A:A,0),2)</f>
        <v>Suporte para basculante e pivotante de vidro temperado</v>
      </c>
      <c r="C2941" s="41"/>
      <c r="D2941" s="26" t="str">
        <f>TRIM(INDEX(Orçamentária!C:C,MATCH(Composições!A2941,Orçamentária!A:A,0),1))</f>
        <v>un</v>
      </c>
      <c r="E2941" s="27"/>
      <c r="F2941" s="42" t="s">
        <v>572</v>
      </c>
      <c r="G2941" s="28" t="str">
        <f t="shared" si="51"/>
        <v/>
      </c>
      <c r="H2941" s="29"/>
      <c r="I2941" s="30"/>
      <c r="J2941" s="156">
        <v>0</v>
      </c>
    </row>
    <row r="2942" spans="1:10" ht="15.75" hidden="1" thickBot="1" x14ac:dyDescent="0.3">
      <c r="A2942" s="222"/>
      <c r="B2942" s="225"/>
      <c r="C2942" s="32"/>
      <c r="D2942" s="32"/>
      <c r="E2942" s="33"/>
      <c r="F2942" s="43" t="s">
        <v>572</v>
      </c>
      <c r="G2942" s="34" t="str">
        <f t="shared" si="51"/>
        <v/>
      </c>
      <c r="H2942" s="35"/>
      <c r="I2942" s="31"/>
      <c r="J2942" s="156">
        <v>0</v>
      </c>
    </row>
    <row r="2943" spans="1:10" ht="15.75" hidden="1" thickBot="1" x14ac:dyDescent="0.3">
      <c r="A2943" s="222"/>
      <c r="B2943" s="225"/>
      <c r="C2943" s="36" t="s">
        <v>68</v>
      </c>
      <c r="D2943" s="36" t="s">
        <v>12</v>
      </c>
      <c r="E2943" s="37">
        <v>0.2</v>
      </c>
      <c r="F2943" s="34">
        <v>20.539000000000001</v>
      </c>
      <c r="G2943" s="34">
        <f t="shared" si="51"/>
        <v>4.1078000000000001</v>
      </c>
      <c r="H2943" s="39">
        <f>SUM(G2943:G2944)</f>
        <v>5.0578000000000003</v>
      </c>
      <c r="I2943" s="40"/>
      <c r="J2943" s="156">
        <v>0</v>
      </c>
    </row>
    <row r="2944" spans="1:10" ht="26.25" hidden="1" thickBot="1" x14ac:dyDescent="0.3">
      <c r="A2944" s="222"/>
      <c r="B2944" s="225"/>
      <c r="C2944" s="36" t="s">
        <v>921</v>
      </c>
      <c r="D2944" s="36" t="s">
        <v>20</v>
      </c>
      <c r="E2944" s="37">
        <v>1</v>
      </c>
      <c r="F2944" s="31">
        <v>0.95</v>
      </c>
      <c r="G2944" s="34">
        <f t="shared" si="51"/>
        <v>0.95</v>
      </c>
      <c r="H2944" s="35"/>
      <c r="I2944" s="31"/>
      <c r="J2944" s="156">
        <v>0</v>
      </c>
    </row>
    <row r="2945" spans="1:10" ht="15.75" hidden="1" thickBot="1" x14ac:dyDescent="0.3">
      <c r="A2945" s="223"/>
      <c r="B2945" s="226"/>
      <c r="C2945" s="36"/>
      <c r="D2945" s="36"/>
      <c r="E2945" s="37"/>
      <c r="F2945" s="31" t="s">
        <v>572</v>
      </c>
      <c r="G2945" s="34" t="str">
        <f t="shared" si="51"/>
        <v/>
      </c>
      <c r="H2945" s="35"/>
      <c r="I2945" s="31"/>
      <c r="J2945" s="156">
        <v>0</v>
      </c>
    </row>
    <row r="2946" spans="1:10" ht="15.75" hidden="1" thickBot="1" x14ac:dyDescent="0.3">
      <c r="A2946" s="221" t="s">
        <v>922</v>
      </c>
      <c r="B2946" s="224" t="str">
        <f>INDEX(Orçamentária!A:B,MATCH(Composições!A2946,Orçamentária!A:A,0),2)</f>
        <v>Trinco central para basculante em vidro temperado</v>
      </c>
      <c r="C2946" s="41"/>
      <c r="D2946" s="26" t="str">
        <f>TRIM(INDEX(Orçamentária!C:C,MATCH(Composições!A2946,Orçamentária!A:A,0),1))</f>
        <v>un</v>
      </c>
      <c r="E2946" s="27"/>
      <c r="F2946" s="42" t="s">
        <v>572</v>
      </c>
      <c r="G2946" s="28" t="str">
        <f t="shared" si="51"/>
        <v/>
      </c>
      <c r="H2946" s="29"/>
      <c r="I2946" s="30"/>
      <c r="J2946" s="156">
        <v>0</v>
      </c>
    </row>
    <row r="2947" spans="1:10" ht="15.75" hidden="1" thickBot="1" x14ac:dyDescent="0.3">
      <c r="A2947" s="222"/>
      <c r="B2947" s="225"/>
      <c r="C2947" s="32"/>
      <c r="D2947" s="32"/>
      <c r="E2947" s="33"/>
      <c r="F2947" s="43" t="s">
        <v>572</v>
      </c>
      <c r="G2947" s="34" t="str">
        <f t="shared" si="51"/>
        <v/>
      </c>
      <c r="H2947" s="35"/>
      <c r="I2947" s="31"/>
      <c r="J2947" s="156">
        <v>0</v>
      </c>
    </row>
    <row r="2948" spans="1:10" ht="15.75" hidden="1" thickBot="1" x14ac:dyDescent="0.3">
      <c r="A2948" s="222"/>
      <c r="B2948" s="225"/>
      <c r="C2948" s="36" t="s">
        <v>68</v>
      </c>
      <c r="D2948" s="36" t="s">
        <v>12</v>
      </c>
      <c r="E2948" s="37">
        <v>0.2</v>
      </c>
      <c r="F2948" s="34">
        <v>20.539000000000001</v>
      </c>
      <c r="G2948" s="34">
        <f t="shared" si="51"/>
        <v>4.1078000000000001</v>
      </c>
      <c r="H2948" s="39">
        <f>SUM(G2948:G2949)</f>
        <v>5.0578000000000003</v>
      </c>
      <c r="I2948" s="40"/>
      <c r="J2948" s="156">
        <v>0</v>
      </c>
    </row>
    <row r="2949" spans="1:10" ht="26.25" hidden="1" thickBot="1" x14ac:dyDescent="0.3">
      <c r="A2949" s="222"/>
      <c r="B2949" s="225"/>
      <c r="C2949" s="36" t="s">
        <v>923</v>
      </c>
      <c r="D2949" s="47" t="s">
        <v>20</v>
      </c>
      <c r="E2949" s="37">
        <v>1</v>
      </c>
      <c r="F2949" s="31">
        <v>0.95</v>
      </c>
      <c r="G2949" s="34">
        <f t="shared" si="51"/>
        <v>0.95</v>
      </c>
      <c r="H2949" s="35"/>
      <c r="I2949" s="31"/>
      <c r="J2949" s="156">
        <v>0</v>
      </c>
    </row>
    <row r="2950" spans="1:10" ht="15.75" hidden="1" thickBot="1" x14ac:dyDescent="0.3">
      <c r="A2950" s="223"/>
      <c r="B2950" s="226"/>
      <c r="C2950" s="36"/>
      <c r="D2950" s="36"/>
      <c r="E2950" s="37"/>
      <c r="F2950" s="31" t="s">
        <v>572</v>
      </c>
      <c r="G2950" s="34" t="str">
        <f t="shared" si="51"/>
        <v/>
      </c>
      <c r="H2950" s="35"/>
      <c r="I2950" s="31"/>
      <c r="J2950" s="156">
        <v>0</v>
      </c>
    </row>
    <row r="2951" spans="1:10" ht="15.75" hidden="1" thickBot="1" x14ac:dyDescent="0.3">
      <c r="A2951" s="221" t="s">
        <v>924</v>
      </c>
      <c r="B2951" s="224" t="str">
        <f>INDEX(Orçamentária!A:B,MATCH(Composições!A2951,Orçamentária!A:A,0),2)</f>
        <v>Vidro laminado incolor de 8mm de espessura</v>
      </c>
      <c r="C2951" s="41"/>
      <c r="D2951" s="26" t="str">
        <f>TRIM(INDEX(Orçamentária!C:C,MATCH(Composições!A2951,Orçamentária!A:A,0),1))</f>
        <v>m2</v>
      </c>
      <c r="E2951" s="27"/>
      <c r="F2951" s="42" t="s">
        <v>572</v>
      </c>
      <c r="G2951" s="28" t="str">
        <f t="shared" si="51"/>
        <v/>
      </c>
      <c r="H2951" s="29"/>
      <c r="I2951" s="30"/>
      <c r="J2951" s="156">
        <v>0</v>
      </c>
    </row>
    <row r="2952" spans="1:10" ht="15.75" hidden="1" thickBot="1" x14ac:dyDescent="0.3">
      <c r="A2952" s="222"/>
      <c r="B2952" s="225"/>
      <c r="C2952" s="32"/>
      <c r="D2952" s="32"/>
      <c r="E2952" s="33"/>
      <c r="F2952" s="43" t="s">
        <v>572</v>
      </c>
      <c r="G2952" s="34" t="str">
        <f t="shared" si="51"/>
        <v/>
      </c>
      <c r="H2952" s="35"/>
      <c r="I2952" s="31"/>
      <c r="J2952" s="156">
        <v>0</v>
      </c>
    </row>
    <row r="2953" spans="1:10" ht="15.75" hidden="1" thickBot="1" x14ac:dyDescent="0.3">
      <c r="A2953" s="222"/>
      <c r="B2953" s="225"/>
      <c r="C2953" s="36" t="s">
        <v>925</v>
      </c>
      <c r="D2953" s="47" t="s">
        <v>96</v>
      </c>
      <c r="E2953" s="37">
        <v>1</v>
      </c>
      <c r="F2953" s="34">
        <v>0.95</v>
      </c>
      <c r="G2953" s="34">
        <f t="shared" si="51"/>
        <v>0.95</v>
      </c>
      <c r="H2953" s="39">
        <f>SUM(G2953:G2956)</f>
        <v>29.150750000000002</v>
      </c>
      <c r="I2953" s="40"/>
      <c r="J2953" s="156">
        <v>0</v>
      </c>
    </row>
    <row r="2954" spans="1:10" ht="15.75" hidden="1" thickBot="1" x14ac:dyDescent="0.3">
      <c r="A2954" s="222"/>
      <c r="B2954" s="225"/>
      <c r="C2954" s="36" t="s">
        <v>68</v>
      </c>
      <c r="D2954" s="47" t="s">
        <v>12</v>
      </c>
      <c r="E2954" s="37">
        <v>0.5</v>
      </c>
      <c r="F2954" s="34">
        <v>20.539000000000001</v>
      </c>
      <c r="G2954" s="34">
        <f t="shared" si="51"/>
        <v>10.269500000000001</v>
      </c>
      <c r="H2954" s="35"/>
      <c r="I2954" s="31"/>
      <c r="J2954" s="156">
        <v>0</v>
      </c>
    </row>
    <row r="2955" spans="1:10" ht="15.75" hidden="1" thickBot="1" x14ac:dyDescent="0.3">
      <c r="A2955" s="222"/>
      <c r="B2955" s="225"/>
      <c r="C2955" s="36" t="s">
        <v>23</v>
      </c>
      <c r="D2955" s="47" t="s">
        <v>12</v>
      </c>
      <c r="E2955" s="37">
        <v>0.5</v>
      </c>
      <c r="F2955" s="31">
        <v>16.311500000000002</v>
      </c>
      <c r="G2955" s="34">
        <f t="shared" si="51"/>
        <v>8.1557500000000012</v>
      </c>
      <c r="H2955" s="35"/>
      <c r="I2955" s="31"/>
      <c r="J2955" s="156">
        <v>0</v>
      </c>
    </row>
    <row r="2956" spans="1:10" ht="15.75" hidden="1" thickBot="1" x14ac:dyDescent="0.3">
      <c r="A2956" s="222"/>
      <c r="B2956" s="225"/>
      <c r="C2956" s="36" t="s">
        <v>309</v>
      </c>
      <c r="D2956" s="47" t="s">
        <v>852</v>
      </c>
      <c r="E2956" s="37">
        <v>1.5</v>
      </c>
      <c r="F2956" s="31">
        <v>6.5170000000000003</v>
      </c>
      <c r="G2956" s="34">
        <f t="shared" si="51"/>
        <v>9.775500000000001</v>
      </c>
      <c r="H2956" s="35"/>
      <c r="I2956" s="31"/>
      <c r="J2956" s="156">
        <v>0</v>
      </c>
    </row>
    <row r="2957" spans="1:10" ht="15.75" hidden="1" thickBot="1" x14ac:dyDescent="0.3">
      <c r="A2957" s="223"/>
      <c r="B2957" s="226"/>
      <c r="C2957" s="36"/>
      <c r="D2957" s="36"/>
      <c r="E2957" s="37"/>
      <c r="F2957" s="31" t="s">
        <v>572</v>
      </c>
      <c r="G2957" s="34" t="str">
        <f t="shared" si="51"/>
        <v/>
      </c>
      <c r="H2957" s="35"/>
      <c r="I2957" s="31"/>
      <c r="J2957" s="156">
        <v>0</v>
      </c>
    </row>
    <row r="2958" spans="1:10" ht="15.75" hidden="1" thickBot="1" x14ac:dyDescent="0.3">
      <c r="A2958" s="221" t="s">
        <v>926</v>
      </c>
      <c r="B2958" s="224" t="str">
        <f>INDEX(Orçamentária!A:B,MATCH(Composições!A2958,Orçamentária!A:A,0),2)</f>
        <v>Dobradiça automática para box de vidro temperado</v>
      </c>
      <c r="C2958" s="41"/>
      <c r="D2958" s="26" t="str">
        <f>TRIM(INDEX(Orçamentária!C:C,MATCH(Composições!A2958,Orçamentária!A:A,0),1))</f>
        <v>un</v>
      </c>
      <c r="E2958" s="27"/>
      <c r="F2958" s="42" t="s">
        <v>572</v>
      </c>
      <c r="G2958" s="28" t="str">
        <f t="shared" si="51"/>
        <v/>
      </c>
      <c r="H2958" s="29"/>
      <c r="I2958" s="30"/>
      <c r="J2958" s="156">
        <v>0</v>
      </c>
    </row>
    <row r="2959" spans="1:10" ht="15.75" hidden="1" thickBot="1" x14ac:dyDescent="0.3">
      <c r="A2959" s="222"/>
      <c r="B2959" s="225"/>
      <c r="C2959" s="32"/>
      <c r="D2959" s="32"/>
      <c r="E2959" s="33"/>
      <c r="F2959" s="43" t="s">
        <v>572</v>
      </c>
      <c r="G2959" s="34" t="str">
        <f t="shared" si="51"/>
        <v/>
      </c>
      <c r="H2959" s="35"/>
      <c r="I2959" s="31"/>
      <c r="J2959" s="156">
        <v>0</v>
      </c>
    </row>
    <row r="2960" spans="1:10" ht="15.75" hidden="1" thickBot="1" x14ac:dyDescent="0.3">
      <c r="A2960" s="222"/>
      <c r="B2960" s="225"/>
      <c r="C2960" s="36" t="s">
        <v>68</v>
      </c>
      <c r="D2960" s="36" t="s">
        <v>12</v>
      </c>
      <c r="E2960" s="37">
        <v>0.2</v>
      </c>
      <c r="F2960" s="34">
        <v>20.539000000000001</v>
      </c>
      <c r="G2960" s="34">
        <f t="shared" si="51"/>
        <v>4.1078000000000001</v>
      </c>
      <c r="H2960" s="39">
        <f>SUM(G2960:G2961)</f>
        <v>4.1078000000000001</v>
      </c>
      <c r="I2960" s="40"/>
      <c r="J2960" s="156">
        <v>0</v>
      </c>
    </row>
    <row r="2961" spans="1:10" ht="26.25" hidden="1" thickBot="1" x14ac:dyDescent="0.3">
      <c r="A2961" s="222"/>
      <c r="B2961" s="225"/>
      <c r="C2961" s="36" t="s">
        <v>927</v>
      </c>
      <c r="D2961" s="36" t="s">
        <v>20</v>
      </c>
      <c r="E2961" s="37">
        <v>1</v>
      </c>
      <c r="F2961" s="31" t="s">
        <v>572</v>
      </c>
      <c r="G2961" s="34" t="str">
        <f t="shared" si="51"/>
        <v/>
      </c>
      <c r="H2961" s="35"/>
      <c r="I2961" s="31"/>
      <c r="J2961" s="156">
        <v>0</v>
      </c>
    </row>
    <row r="2962" spans="1:10" ht="15.75" hidden="1" thickBot="1" x14ac:dyDescent="0.3">
      <c r="A2962" s="223"/>
      <c r="B2962" s="226"/>
      <c r="C2962" s="36"/>
      <c r="D2962" s="36"/>
      <c r="E2962" s="37"/>
      <c r="F2962" s="31" t="s">
        <v>572</v>
      </c>
      <c r="G2962" s="34" t="str">
        <f t="shared" ref="G2962:G3025" si="52">IF(ISNUMBER(F2962),E2962*F2962,"")</f>
        <v/>
      </c>
      <c r="H2962" s="35"/>
      <c r="I2962" s="31"/>
      <c r="J2962" s="156">
        <v>0</v>
      </c>
    </row>
    <row r="2963" spans="1:10" ht="15.75" hidden="1" thickBot="1" x14ac:dyDescent="0.3">
      <c r="A2963" s="221" t="s">
        <v>928</v>
      </c>
      <c r="B2963" s="224" t="str">
        <f>INDEX(Orçamentária!A:B,MATCH(Composições!A2963,Orçamentária!A:A,0),2)</f>
        <v>Dobradiça horizontal para vidro basculante com trinco</v>
      </c>
      <c r="C2963" s="41"/>
      <c r="D2963" s="26" t="str">
        <f>TRIM(INDEX(Orçamentária!C:C,MATCH(Composições!A2963,Orçamentária!A:A,0),1))</f>
        <v>un</v>
      </c>
      <c r="E2963" s="27"/>
      <c r="F2963" s="42" t="s">
        <v>572</v>
      </c>
      <c r="G2963" s="28" t="str">
        <f t="shared" si="52"/>
        <v/>
      </c>
      <c r="H2963" s="29"/>
      <c r="I2963" s="30"/>
      <c r="J2963" s="156">
        <v>0</v>
      </c>
    </row>
    <row r="2964" spans="1:10" ht="15.75" hidden="1" thickBot="1" x14ac:dyDescent="0.3">
      <c r="A2964" s="222"/>
      <c r="B2964" s="225"/>
      <c r="C2964" s="32"/>
      <c r="D2964" s="32"/>
      <c r="E2964" s="33"/>
      <c r="F2964" s="43" t="s">
        <v>572</v>
      </c>
      <c r="G2964" s="34" t="str">
        <f t="shared" si="52"/>
        <v/>
      </c>
      <c r="H2964" s="35"/>
      <c r="I2964" s="31"/>
      <c r="J2964" s="156">
        <v>0</v>
      </c>
    </row>
    <row r="2965" spans="1:10" ht="15.75" hidden="1" thickBot="1" x14ac:dyDescent="0.3">
      <c r="A2965" s="222"/>
      <c r="B2965" s="225"/>
      <c r="C2965" s="36" t="s">
        <v>68</v>
      </c>
      <c r="D2965" s="36" t="s">
        <v>12</v>
      </c>
      <c r="E2965" s="37">
        <v>0.2</v>
      </c>
      <c r="F2965" s="34">
        <v>20.539000000000001</v>
      </c>
      <c r="G2965" s="34">
        <f t="shared" si="52"/>
        <v>4.1078000000000001</v>
      </c>
      <c r="H2965" s="39">
        <f>SUM(G2965:G2966)</f>
        <v>4.1078000000000001</v>
      </c>
      <c r="I2965" s="40"/>
      <c r="J2965" s="156">
        <v>0</v>
      </c>
    </row>
    <row r="2966" spans="1:10" ht="39" hidden="1" thickBot="1" x14ac:dyDescent="0.3">
      <c r="A2966" s="222"/>
      <c r="B2966" s="225"/>
      <c r="C2966" s="36" t="s">
        <v>929</v>
      </c>
      <c r="D2966" s="36" t="s">
        <v>20</v>
      </c>
      <c r="E2966" s="37">
        <v>1</v>
      </c>
      <c r="F2966" s="31" t="s">
        <v>572</v>
      </c>
      <c r="G2966" s="34" t="str">
        <f t="shared" si="52"/>
        <v/>
      </c>
      <c r="H2966" s="35"/>
      <c r="I2966" s="31"/>
      <c r="J2966" s="156">
        <v>0</v>
      </c>
    </row>
    <row r="2967" spans="1:10" ht="15.75" hidden="1" thickBot="1" x14ac:dyDescent="0.3">
      <c r="A2967" s="223"/>
      <c r="B2967" s="226"/>
      <c r="C2967" s="36"/>
      <c r="D2967" s="36"/>
      <c r="E2967" s="37"/>
      <c r="F2967" s="31" t="s">
        <v>572</v>
      </c>
      <c r="G2967" s="34" t="str">
        <f t="shared" si="52"/>
        <v/>
      </c>
      <c r="H2967" s="35"/>
      <c r="I2967" s="31"/>
      <c r="J2967" s="156">
        <v>0</v>
      </c>
    </row>
    <row r="2968" spans="1:10" ht="15.75" hidden="1" thickBot="1" x14ac:dyDescent="0.3">
      <c r="A2968" s="221" t="s">
        <v>930</v>
      </c>
      <c r="B2968" s="224" t="str">
        <f>INDEX(Orçamentária!A:B,MATCH(Composições!A2968,Orçamentária!A:A,0),2)</f>
        <v>Dobradiça horizontal para vidro basculante</v>
      </c>
      <c r="C2968" s="41"/>
      <c r="D2968" s="26" t="str">
        <f>TRIM(INDEX(Orçamentária!C:C,MATCH(Composições!A2968,Orçamentária!A:A,0),1))</f>
        <v>un</v>
      </c>
      <c r="E2968" s="27"/>
      <c r="F2968" s="42" t="s">
        <v>572</v>
      </c>
      <c r="G2968" s="28" t="str">
        <f t="shared" si="52"/>
        <v/>
      </c>
      <c r="H2968" s="29"/>
      <c r="I2968" s="30"/>
      <c r="J2968" s="156">
        <v>0</v>
      </c>
    </row>
    <row r="2969" spans="1:10" ht="15.75" hidden="1" thickBot="1" x14ac:dyDescent="0.3">
      <c r="A2969" s="222"/>
      <c r="B2969" s="225"/>
      <c r="C2969" s="32"/>
      <c r="D2969" s="32"/>
      <c r="E2969" s="33"/>
      <c r="F2969" s="43" t="s">
        <v>572</v>
      </c>
      <c r="G2969" s="34" t="str">
        <f t="shared" si="52"/>
        <v/>
      </c>
      <c r="H2969" s="35"/>
      <c r="I2969" s="31"/>
      <c r="J2969" s="156">
        <v>0</v>
      </c>
    </row>
    <row r="2970" spans="1:10" ht="15.75" hidden="1" thickBot="1" x14ac:dyDescent="0.3">
      <c r="A2970" s="222"/>
      <c r="B2970" s="225"/>
      <c r="C2970" s="36" t="s">
        <v>68</v>
      </c>
      <c r="D2970" s="36" t="s">
        <v>12</v>
      </c>
      <c r="E2970" s="37">
        <v>0.2</v>
      </c>
      <c r="F2970" s="34">
        <v>20.539000000000001</v>
      </c>
      <c r="G2970" s="34">
        <f t="shared" si="52"/>
        <v>4.1078000000000001</v>
      </c>
      <c r="H2970" s="39">
        <f>SUM(G2970:G2971)</f>
        <v>4.1078000000000001</v>
      </c>
      <c r="I2970" s="40"/>
      <c r="J2970" s="156">
        <v>0</v>
      </c>
    </row>
    <row r="2971" spans="1:10" ht="26.25" hidden="1" thickBot="1" x14ac:dyDescent="0.3">
      <c r="A2971" s="222"/>
      <c r="B2971" s="225"/>
      <c r="C2971" s="36" t="s">
        <v>931</v>
      </c>
      <c r="D2971" s="36" t="s">
        <v>20</v>
      </c>
      <c r="E2971" s="37">
        <v>1</v>
      </c>
      <c r="F2971" s="31" t="s">
        <v>572</v>
      </c>
      <c r="G2971" s="34" t="str">
        <f t="shared" si="52"/>
        <v/>
      </c>
      <c r="H2971" s="35"/>
      <c r="I2971" s="31"/>
      <c r="J2971" s="156">
        <v>0</v>
      </c>
    </row>
    <row r="2972" spans="1:10" ht="15.75" hidden="1" thickBot="1" x14ac:dyDescent="0.3">
      <c r="A2972" s="223"/>
      <c r="B2972" s="226"/>
      <c r="C2972" s="36"/>
      <c r="D2972" s="36"/>
      <c r="E2972" s="37"/>
      <c r="F2972" s="31" t="s">
        <v>572</v>
      </c>
      <c r="G2972" s="34" t="str">
        <f t="shared" si="52"/>
        <v/>
      </c>
      <c r="H2972" s="35"/>
      <c r="I2972" s="31"/>
      <c r="J2972" s="156">
        <v>0</v>
      </c>
    </row>
    <row r="2973" spans="1:10" ht="15.75" hidden="1" thickBot="1" x14ac:dyDescent="0.3">
      <c r="A2973" s="221" t="s">
        <v>932</v>
      </c>
      <c r="B2973" s="224" t="str">
        <f>INDEX(Orçamentária!A:B,MATCH(Composições!A2973,Orçamentária!A:A,0),2)</f>
        <v>Fechadura elétrica para porta de vidro temperado</v>
      </c>
      <c r="C2973" s="41"/>
      <c r="D2973" s="26" t="str">
        <f>TRIM(INDEX(Orçamentária!C:C,MATCH(Composições!A2973,Orçamentária!A:A,0),1))</f>
        <v>un</v>
      </c>
      <c r="E2973" s="27"/>
      <c r="F2973" s="42" t="s">
        <v>572</v>
      </c>
      <c r="G2973" s="28" t="str">
        <f t="shared" si="52"/>
        <v/>
      </c>
      <c r="H2973" s="29"/>
      <c r="I2973" s="30"/>
      <c r="J2973" s="156">
        <v>0</v>
      </c>
    </row>
    <row r="2974" spans="1:10" ht="15.75" hidden="1" thickBot="1" x14ac:dyDescent="0.3">
      <c r="A2974" s="222"/>
      <c r="B2974" s="225"/>
      <c r="C2974" s="32"/>
      <c r="D2974" s="32"/>
      <c r="E2974" s="33"/>
      <c r="F2974" s="43" t="s">
        <v>572</v>
      </c>
      <c r="G2974" s="34" t="str">
        <f t="shared" si="52"/>
        <v/>
      </c>
      <c r="H2974" s="35"/>
      <c r="I2974" s="31"/>
      <c r="J2974" s="156">
        <v>0</v>
      </c>
    </row>
    <row r="2975" spans="1:10" ht="15.75" hidden="1" thickBot="1" x14ac:dyDescent="0.3">
      <c r="A2975" s="222"/>
      <c r="B2975" s="225"/>
      <c r="C2975" s="36" t="s">
        <v>68</v>
      </c>
      <c r="D2975" s="36" t="s">
        <v>12</v>
      </c>
      <c r="E2975" s="37">
        <v>1.5</v>
      </c>
      <c r="F2975" s="34">
        <v>20.539000000000001</v>
      </c>
      <c r="G2975" s="34">
        <f t="shared" si="52"/>
        <v>30.808500000000002</v>
      </c>
      <c r="H2975" s="39">
        <f>SUM(G2975:G2976)</f>
        <v>30.808500000000002</v>
      </c>
      <c r="I2975" s="40"/>
      <c r="J2975" s="156">
        <v>0</v>
      </c>
    </row>
    <row r="2976" spans="1:10" ht="51.75" hidden="1" thickBot="1" x14ac:dyDescent="0.3">
      <c r="A2976" s="222"/>
      <c r="B2976" s="225"/>
      <c r="C2976" s="151" t="s">
        <v>933</v>
      </c>
      <c r="D2976" s="36" t="s">
        <v>20</v>
      </c>
      <c r="E2976" s="37">
        <v>1</v>
      </c>
      <c r="F2976" s="31" t="s">
        <v>572</v>
      </c>
      <c r="G2976" s="34" t="str">
        <f t="shared" si="52"/>
        <v/>
      </c>
      <c r="H2976" s="35"/>
      <c r="I2976" s="31"/>
      <c r="J2976" s="156">
        <v>0</v>
      </c>
    </row>
    <row r="2977" spans="1:10" ht="15.75" hidden="1" thickBot="1" x14ac:dyDescent="0.3">
      <c r="A2977" s="223"/>
      <c r="B2977" s="226"/>
      <c r="C2977" s="36"/>
      <c r="D2977" s="36"/>
      <c r="E2977" s="37"/>
      <c r="F2977" s="31" t="s">
        <v>572</v>
      </c>
      <c r="G2977" s="34" t="str">
        <f t="shared" si="52"/>
        <v/>
      </c>
      <c r="H2977" s="35"/>
      <c r="I2977" s="31"/>
      <c r="J2977" s="156">
        <v>0</v>
      </c>
    </row>
    <row r="2978" spans="1:10" ht="15.75" hidden="1" thickBot="1" x14ac:dyDescent="0.3">
      <c r="A2978" s="221" t="s">
        <v>934</v>
      </c>
      <c r="B2978" s="224" t="str">
        <f>INDEX(Orçamentária!A:B,MATCH(Composições!A2978,Orçamentária!A:A,0),2)</f>
        <v>Porteiro eletrônico</v>
      </c>
      <c r="C2978" s="41"/>
      <c r="D2978" s="26" t="str">
        <f>TRIM(INDEX(Orçamentária!C:C,MATCH(Composições!A2978,Orçamentária!A:A,0),1))</f>
        <v>un</v>
      </c>
      <c r="E2978" s="27"/>
      <c r="F2978" s="42" t="s">
        <v>572</v>
      </c>
      <c r="G2978" s="28" t="str">
        <f t="shared" si="52"/>
        <v/>
      </c>
      <c r="H2978" s="29"/>
      <c r="I2978" s="30"/>
      <c r="J2978" s="156">
        <v>0</v>
      </c>
    </row>
    <row r="2979" spans="1:10" ht="15.75" hidden="1" thickBot="1" x14ac:dyDescent="0.3">
      <c r="A2979" s="222"/>
      <c r="B2979" s="225"/>
      <c r="C2979" s="32"/>
      <c r="D2979" s="32"/>
      <c r="E2979" s="33"/>
      <c r="F2979" s="43" t="s">
        <v>572</v>
      </c>
      <c r="G2979" s="34" t="str">
        <f t="shared" si="52"/>
        <v/>
      </c>
      <c r="H2979" s="35"/>
      <c r="I2979" s="31"/>
      <c r="J2979" s="156">
        <v>0</v>
      </c>
    </row>
    <row r="2980" spans="1:10" ht="15.75" hidden="1" thickBot="1" x14ac:dyDescent="0.3">
      <c r="A2980" s="222"/>
      <c r="B2980" s="225"/>
      <c r="C2980" s="36" t="s">
        <v>68</v>
      </c>
      <c r="D2980" s="36" t="s">
        <v>12</v>
      </c>
      <c r="E2980" s="37">
        <v>1.5</v>
      </c>
      <c r="F2980" s="34">
        <v>20.539000000000001</v>
      </c>
      <c r="G2980" s="34">
        <f t="shared" si="52"/>
        <v>30.808500000000002</v>
      </c>
      <c r="H2980" s="39">
        <f>SUM(G2980:G2981)</f>
        <v>30.808500000000002</v>
      </c>
      <c r="I2980" s="40"/>
      <c r="J2980" s="156">
        <v>0</v>
      </c>
    </row>
    <row r="2981" spans="1:10" ht="15.75" hidden="1" thickBot="1" x14ac:dyDescent="0.3">
      <c r="A2981" s="222"/>
      <c r="B2981" s="225"/>
      <c r="C2981" s="36" t="s">
        <v>935</v>
      </c>
      <c r="D2981" s="36" t="s">
        <v>20</v>
      </c>
      <c r="E2981" s="37">
        <v>1</v>
      </c>
      <c r="F2981" s="31" t="s">
        <v>572</v>
      </c>
      <c r="G2981" s="34" t="str">
        <f t="shared" si="52"/>
        <v/>
      </c>
      <c r="H2981" s="35"/>
      <c r="I2981" s="31"/>
      <c r="J2981" s="156">
        <v>0</v>
      </c>
    </row>
    <row r="2982" spans="1:10" ht="15.75" hidden="1" thickBot="1" x14ac:dyDescent="0.3">
      <c r="A2982" s="223"/>
      <c r="B2982" s="226"/>
      <c r="C2982" s="36"/>
      <c r="D2982" s="36"/>
      <c r="E2982" s="37"/>
      <c r="F2982" s="31" t="s">
        <v>572</v>
      </c>
      <c r="G2982" s="34" t="str">
        <f t="shared" si="52"/>
        <v/>
      </c>
      <c r="H2982" s="35"/>
      <c r="I2982" s="31"/>
      <c r="J2982" s="156">
        <v>0</v>
      </c>
    </row>
    <row r="2983" spans="1:10" ht="15.75" hidden="1" thickBot="1" x14ac:dyDescent="0.3">
      <c r="A2983" s="221" t="s">
        <v>936</v>
      </c>
      <c r="B2983" s="224" t="str">
        <f>INDEX(Orçamentária!A:B,MATCH(Composições!A2983,Orçamentária!A:A,0),2)</f>
        <v>Acionador fixo</v>
      </c>
      <c r="C2983" s="41"/>
      <c r="D2983" s="26" t="str">
        <f>TRIM(INDEX(Orçamentária!C:C,MATCH(Composições!A2983,Orçamentária!A:A,0),1))</f>
        <v>un</v>
      </c>
      <c r="E2983" s="27"/>
      <c r="F2983" s="42" t="s">
        <v>572</v>
      </c>
      <c r="G2983" s="28" t="str">
        <f t="shared" si="52"/>
        <v/>
      </c>
      <c r="H2983" s="29"/>
      <c r="I2983" s="30"/>
      <c r="J2983" s="156">
        <v>0</v>
      </c>
    </row>
    <row r="2984" spans="1:10" ht="15.75" hidden="1" thickBot="1" x14ac:dyDescent="0.3">
      <c r="A2984" s="222"/>
      <c r="B2984" s="225"/>
      <c r="C2984" s="32"/>
      <c r="D2984" s="32"/>
      <c r="E2984" s="33"/>
      <c r="F2984" s="43" t="s">
        <v>572</v>
      </c>
      <c r="G2984" s="34" t="str">
        <f t="shared" si="52"/>
        <v/>
      </c>
      <c r="H2984" s="35"/>
      <c r="I2984" s="31"/>
      <c r="J2984" s="156">
        <v>0</v>
      </c>
    </row>
    <row r="2985" spans="1:10" ht="15.75" hidden="1" thickBot="1" x14ac:dyDescent="0.3">
      <c r="A2985" s="222"/>
      <c r="B2985" s="225"/>
      <c r="C2985" s="36" t="s">
        <v>68</v>
      </c>
      <c r="D2985" s="36" t="s">
        <v>12</v>
      </c>
      <c r="E2985" s="37">
        <v>1</v>
      </c>
      <c r="F2985" s="34">
        <v>20.539000000000001</v>
      </c>
      <c r="G2985" s="34">
        <f t="shared" si="52"/>
        <v>20.539000000000001</v>
      </c>
      <c r="H2985" s="39">
        <f>SUM(G2985:G2986)</f>
        <v>20.539000000000001</v>
      </c>
      <c r="I2985" s="40"/>
      <c r="J2985" s="156">
        <v>0</v>
      </c>
    </row>
    <row r="2986" spans="1:10" ht="26.25" hidden="1" thickBot="1" x14ac:dyDescent="0.3">
      <c r="A2986" s="222"/>
      <c r="B2986" s="225"/>
      <c r="C2986" s="36" t="s">
        <v>937</v>
      </c>
      <c r="D2986" s="36" t="s">
        <v>20</v>
      </c>
      <c r="E2986" s="37">
        <v>1</v>
      </c>
      <c r="F2986" s="31" t="s">
        <v>572</v>
      </c>
      <c r="G2986" s="34" t="str">
        <f t="shared" si="52"/>
        <v/>
      </c>
      <c r="H2986" s="35"/>
      <c r="I2986" s="31"/>
      <c r="J2986" s="156">
        <v>0</v>
      </c>
    </row>
    <row r="2987" spans="1:10" ht="15.75" hidden="1" thickBot="1" x14ac:dyDescent="0.3">
      <c r="A2987" s="223"/>
      <c r="B2987" s="226"/>
      <c r="C2987" s="36"/>
      <c r="D2987" s="36"/>
      <c r="E2987" s="37"/>
      <c r="F2987" s="31" t="s">
        <v>572</v>
      </c>
      <c r="G2987" s="34" t="str">
        <f t="shared" si="52"/>
        <v/>
      </c>
      <c r="H2987" s="35"/>
      <c r="I2987" s="31"/>
      <c r="J2987" s="156">
        <v>0</v>
      </c>
    </row>
    <row r="2988" spans="1:10" ht="15.75" hidden="1" thickBot="1" x14ac:dyDescent="0.3">
      <c r="A2988" s="221" t="s">
        <v>938</v>
      </c>
      <c r="B2988" s="224" t="str">
        <f>INDEX(Orçamentária!A:B,MATCH(Composições!A2988,Orçamentária!A:A,0),2)</f>
        <v>Mini chapinha para trinco basculante</v>
      </c>
      <c r="C2988" s="41"/>
      <c r="D2988" s="26" t="str">
        <f>TRIM(INDEX(Orçamentária!C:C,MATCH(Composições!A2988,Orçamentária!A:A,0),1))</f>
        <v>un</v>
      </c>
      <c r="E2988" s="27"/>
      <c r="F2988" s="42" t="s">
        <v>572</v>
      </c>
      <c r="G2988" s="28" t="str">
        <f t="shared" si="52"/>
        <v/>
      </c>
      <c r="H2988" s="29"/>
      <c r="I2988" s="30"/>
      <c r="J2988" s="156">
        <v>0</v>
      </c>
    </row>
    <row r="2989" spans="1:10" ht="15.75" hidden="1" thickBot="1" x14ac:dyDescent="0.3">
      <c r="A2989" s="222"/>
      <c r="B2989" s="225"/>
      <c r="C2989" s="32"/>
      <c r="D2989" s="32"/>
      <c r="E2989" s="33"/>
      <c r="F2989" s="43" t="s">
        <v>572</v>
      </c>
      <c r="G2989" s="34" t="str">
        <f t="shared" si="52"/>
        <v/>
      </c>
      <c r="H2989" s="35"/>
      <c r="I2989" s="31"/>
      <c r="J2989" s="156">
        <v>0</v>
      </c>
    </row>
    <row r="2990" spans="1:10" ht="15.75" hidden="1" thickBot="1" x14ac:dyDescent="0.3">
      <c r="A2990" s="222"/>
      <c r="B2990" s="225"/>
      <c r="C2990" s="36" t="s">
        <v>68</v>
      </c>
      <c r="D2990" s="36" t="s">
        <v>12</v>
      </c>
      <c r="E2990" s="37">
        <v>0.1</v>
      </c>
      <c r="F2990" s="34">
        <v>20.539000000000001</v>
      </c>
      <c r="G2990" s="34">
        <f t="shared" si="52"/>
        <v>2.0539000000000001</v>
      </c>
      <c r="H2990" s="39">
        <f>SUM(G2990:G2991)</f>
        <v>2.0539000000000001</v>
      </c>
      <c r="I2990" s="40"/>
      <c r="J2990" s="156">
        <v>0</v>
      </c>
    </row>
    <row r="2991" spans="1:10" ht="26.25" hidden="1" thickBot="1" x14ac:dyDescent="0.3">
      <c r="A2991" s="222"/>
      <c r="B2991" s="225"/>
      <c r="C2991" s="36" t="s">
        <v>939</v>
      </c>
      <c r="D2991" s="36" t="s">
        <v>20</v>
      </c>
      <c r="E2991" s="37">
        <v>1</v>
      </c>
      <c r="F2991" s="31" t="s">
        <v>572</v>
      </c>
      <c r="G2991" s="34" t="str">
        <f t="shared" si="52"/>
        <v/>
      </c>
      <c r="H2991" s="35"/>
      <c r="I2991" s="31"/>
      <c r="J2991" s="156">
        <v>0</v>
      </c>
    </row>
    <row r="2992" spans="1:10" ht="15.75" hidden="1" thickBot="1" x14ac:dyDescent="0.3">
      <c r="A2992" s="223"/>
      <c r="B2992" s="226"/>
      <c r="C2992" s="36"/>
      <c r="D2992" s="36"/>
      <c r="E2992" s="37"/>
      <c r="F2992" s="31" t="s">
        <v>572</v>
      </c>
      <c r="G2992" s="34" t="str">
        <f t="shared" si="52"/>
        <v/>
      </c>
      <c r="H2992" s="35"/>
      <c r="I2992" s="31"/>
      <c r="J2992" s="156">
        <v>0</v>
      </c>
    </row>
    <row r="2993" spans="1:10" ht="15.75" hidden="1" thickBot="1" x14ac:dyDescent="0.3">
      <c r="A2993" s="221" t="s">
        <v>940</v>
      </c>
      <c r="B2993" s="224" t="str">
        <f>INDEX(Orçamentária!A:B,MATCH(Composições!A2993,Orçamentária!A:A,0),2)</f>
        <v>Puxador de latão - diâmetro 25mm</v>
      </c>
      <c r="C2993" s="41"/>
      <c r="D2993" s="26" t="str">
        <f>TRIM(INDEX(Orçamentária!C:C,MATCH(Composições!A2993,Orçamentária!A:A,0),1))</f>
        <v>un</v>
      </c>
      <c r="E2993" s="27"/>
      <c r="F2993" s="42" t="s">
        <v>572</v>
      </c>
      <c r="G2993" s="28" t="str">
        <f t="shared" si="52"/>
        <v/>
      </c>
      <c r="H2993" s="29"/>
      <c r="I2993" s="30"/>
      <c r="J2993" s="156">
        <v>0</v>
      </c>
    </row>
    <row r="2994" spans="1:10" ht="15.75" hidden="1" thickBot="1" x14ac:dyDescent="0.3">
      <c r="A2994" s="222"/>
      <c r="B2994" s="225"/>
      <c r="C2994" s="32"/>
      <c r="D2994" s="32"/>
      <c r="E2994" s="33"/>
      <c r="F2994" s="43" t="s">
        <v>572</v>
      </c>
      <c r="G2994" s="34" t="str">
        <f t="shared" si="52"/>
        <v/>
      </c>
      <c r="H2994" s="35"/>
      <c r="I2994" s="31"/>
      <c r="J2994" s="156">
        <v>0</v>
      </c>
    </row>
    <row r="2995" spans="1:10" ht="15.75" hidden="1" thickBot="1" x14ac:dyDescent="0.3">
      <c r="A2995" s="222"/>
      <c r="B2995" s="225"/>
      <c r="C2995" s="36" t="s">
        <v>68</v>
      </c>
      <c r="D2995" s="36" t="s">
        <v>12</v>
      </c>
      <c r="E2995" s="37">
        <v>0.2</v>
      </c>
      <c r="F2995" s="34">
        <v>20.539000000000001</v>
      </c>
      <c r="G2995" s="34">
        <f t="shared" si="52"/>
        <v>4.1078000000000001</v>
      </c>
      <c r="H2995" s="39">
        <f>SUM(G2995:G2996)</f>
        <v>4.1078000000000001</v>
      </c>
      <c r="I2995" s="40"/>
      <c r="J2995" s="156">
        <v>0</v>
      </c>
    </row>
    <row r="2996" spans="1:10" ht="26.25" hidden="1" thickBot="1" x14ac:dyDescent="0.3">
      <c r="A2996" s="222"/>
      <c r="B2996" s="225"/>
      <c r="C2996" s="36" t="s">
        <v>941</v>
      </c>
      <c r="D2996" s="36" t="s">
        <v>20</v>
      </c>
      <c r="E2996" s="37">
        <v>1</v>
      </c>
      <c r="F2996" s="31" t="s">
        <v>572</v>
      </c>
      <c r="G2996" s="34" t="str">
        <f t="shared" si="52"/>
        <v/>
      </c>
      <c r="H2996" s="35"/>
      <c r="I2996" s="31"/>
      <c r="J2996" s="156">
        <v>0</v>
      </c>
    </row>
    <row r="2997" spans="1:10" ht="15.75" hidden="1" thickBot="1" x14ac:dyDescent="0.3">
      <c r="A2997" s="223"/>
      <c r="B2997" s="226"/>
      <c r="C2997" s="36"/>
      <c r="D2997" s="36"/>
      <c r="E2997" s="37"/>
      <c r="F2997" s="31" t="s">
        <v>572</v>
      </c>
      <c r="G2997" s="34" t="str">
        <f t="shared" si="52"/>
        <v/>
      </c>
      <c r="H2997" s="35"/>
      <c r="I2997" s="31"/>
      <c r="J2997" s="156">
        <v>0</v>
      </c>
    </row>
    <row r="2998" spans="1:10" ht="15.75" hidden="1" thickBot="1" x14ac:dyDescent="0.3">
      <c r="A2998" s="221" t="s">
        <v>942</v>
      </c>
      <c r="B2998" s="224" t="str">
        <f>INDEX(Orçamentária!A:B,MATCH(Composições!A2998,Orçamentária!A:A,0),2)</f>
        <v>Trinco sem miolo para vidro temperado</v>
      </c>
      <c r="C2998" s="41"/>
      <c r="D2998" s="26" t="str">
        <f>TRIM(INDEX(Orçamentária!C:C,MATCH(Composições!A2998,Orçamentária!A:A,0),1))</f>
        <v>un</v>
      </c>
      <c r="E2998" s="27"/>
      <c r="F2998" s="42" t="s">
        <v>572</v>
      </c>
      <c r="G2998" s="28" t="str">
        <f t="shared" si="52"/>
        <v/>
      </c>
      <c r="H2998" s="29"/>
      <c r="I2998" s="30"/>
      <c r="J2998" s="156">
        <v>0</v>
      </c>
    </row>
    <row r="2999" spans="1:10" ht="15.75" hidden="1" thickBot="1" x14ac:dyDescent="0.3">
      <c r="A2999" s="222"/>
      <c r="B2999" s="225"/>
      <c r="C2999" s="32"/>
      <c r="D2999" s="32"/>
      <c r="E2999" s="33"/>
      <c r="F2999" s="43" t="s">
        <v>572</v>
      </c>
      <c r="G2999" s="34" t="str">
        <f t="shared" si="52"/>
        <v/>
      </c>
      <c r="H2999" s="35"/>
      <c r="I2999" s="31"/>
      <c r="J2999" s="156">
        <v>0</v>
      </c>
    </row>
    <row r="3000" spans="1:10" ht="15.75" hidden="1" thickBot="1" x14ac:dyDescent="0.3">
      <c r="A3000" s="222"/>
      <c r="B3000" s="225"/>
      <c r="C3000" s="36" t="s">
        <v>68</v>
      </c>
      <c r="D3000" s="36" t="s">
        <v>12</v>
      </c>
      <c r="E3000" s="37">
        <v>0.2</v>
      </c>
      <c r="F3000" s="34">
        <v>20.539000000000001</v>
      </c>
      <c r="G3000" s="34">
        <f t="shared" si="52"/>
        <v>4.1078000000000001</v>
      </c>
      <c r="H3000" s="39">
        <f>SUM(G3000:G3001)</f>
        <v>4.1078000000000001</v>
      </c>
      <c r="I3000" s="40"/>
      <c r="J3000" s="156">
        <v>0</v>
      </c>
    </row>
    <row r="3001" spans="1:10" ht="39" hidden="1" thickBot="1" x14ac:dyDescent="0.3">
      <c r="A3001" s="222"/>
      <c r="B3001" s="225"/>
      <c r="C3001" s="36" t="s">
        <v>943</v>
      </c>
      <c r="D3001" s="36" t="s">
        <v>20</v>
      </c>
      <c r="E3001" s="37">
        <v>1</v>
      </c>
      <c r="F3001" s="31" t="s">
        <v>572</v>
      </c>
      <c r="G3001" s="34" t="str">
        <f t="shared" si="52"/>
        <v/>
      </c>
      <c r="H3001" s="35"/>
      <c r="I3001" s="31"/>
      <c r="J3001" s="156">
        <v>0</v>
      </c>
    </row>
    <row r="3002" spans="1:10" ht="15.75" hidden="1" thickBot="1" x14ac:dyDescent="0.3">
      <c r="A3002" s="223"/>
      <c r="B3002" s="226"/>
      <c r="C3002" s="36"/>
      <c r="D3002" s="36"/>
      <c r="E3002" s="37"/>
      <c r="F3002" s="31" t="s">
        <v>572</v>
      </c>
      <c r="G3002" s="34" t="str">
        <f t="shared" si="52"/>
        <v/>
      </c>
      <c r="H3002" s="35"/>
      <c r="I3002" s="31"/>
      <c r="J3002" s="156">
        <v>0</v>
      </c>
    </row>
    <row r="3003" spans="1:10" ht="15.75" hidden="1" thickBot="1" x14ac:dyDescent="0.3">
      <c r="A3003" s="221" t="s">
        <v>944</v>
      </c>
      <c r="B3003" s="224" t="str">
        <f>INDEX(Orçamentária!A:B,MATCH(Composições!A3003,Orçamentária!A:A,0),2)</f>
        <v>Tubo de alumínio quadrado 50x50</v>
      </c>
      <c r="C3003" s="41"/>
      <c r="D3003" s="26" t="str">
        <f>TRIM(INDEX(Orçamentária!C:C,MATCH(Composições!A3003,Orçamentária!A:A,0),1))</f>
        <v>m</v>
      </c>
      <c r="E3003" s="27"/>
      <c r="F3003" s="42" t="s">
        <v>572</v>
      </c>
      <c r="G3003" s="28" t="str">
        <f t="shared" si="52"/>
        <v/>
      </c>
      <c r="H3003" s="29"/>
      <c r="I3003" s="30"/>
      <c r="J3003" s="156">
        <v>0</v>
      </c>
    </row>
    <row r="3004" spans="1:10" ht="15.75" hidden="1" thickBot="1" x14ac:dyDescent="0.3">
      <c r="A3004" s="227"/>
      <c r="B3004" s="225"/>
      <c r="C3004" s="32"/>
      <c r="D3004" s="32"/>
      <c r="E3004" s="33"/>
      <c r="F3004" s="43" t="s">
        <v>572</v>
      </c>
      <c r="G3004" s="34" t="str">
        <f t="shared" si="52"/>
        <v/>
      </c>
      <c r="H3004" s="35"/>
      <c r="I3004" s="31"/>
      <c r="J3004" s="156">
        <v>0</v>
      </c>
    </row>
    <row r="3005" spans="1:10" ht="15.75" hidden="1" thickBot="1" x14ac:dyDescent="0.3">
      <c r="A3005" s="227"/>
      <c r="B3005" s="225"/>
      <c r="C3005" s="36" t="s">
        <v>68</v>
      </c>
      <c r="D3005" s="36" t="s">
        <v>12</v>
      </c>
      <c r="E3005" s="37">
        <v>0.25</v>
      </c>
      <c r="F3005" s="34">
        <v>20.539000000000001</v>
      </c>
      <c r="G3005" s="34">
        <f t="shared" si="52"/>
        <v>5.1347500000000004</v>
      </c>
      <c r="H3005" s="39">
        <f>SUM(G3005:G3006)</f>
        <v>35.952360499999998</v>
      </c>
      <c r="I3005" s="40"/>
      <c r="J3005" s="156">
        <v>0</v>
      </c>
    </row>
    <row r="3006" spans="1:10" ht="15.75" hidden="1" thickBot="1" x14ac:dyDescent="0.3">
      <c r="A3006" s="227"/>
      <c r="B3006" s="225"/>
      <c r="C3006" s="36" t="s">
        <v>893</v>
      </c>
      <c r="D3006" s="36" t="s">
        <v>42</v>
      </c>
      <c r="E3006" s="37">
        <v>0.85299999999999998</v>
      </c>
      <c r="F3006" s="31">
        <v>36.128500000000003</v>
      </c>
      <c r="G3006" s="34">
        <f t="shared" si="52"/>
        <v>30.817610500000001</v>
      </c>
      <c r="H3006" s="35"/>
      <c r="I3006" s="31"/>
      <c r="J3006" s="156">
        <v>0</v>
      </c>
    </row>
    <row r="3007" spans="1:10" ht="15.75" hidden="1" thickBot="1" x14ac:dyDescent="0.3">
      <c r="A3007" s="227"/>
      <c r="B3007" s="225"/>
      <c r="C3007" s="36"/>
      <c r="D3007" s="47"/>
      <c r="E3007" s="37"/>
      <c r="F3007" s="31" t="s">
        <v>572</v>
      </c>
      <c r="G3007" s="34" t="str">
        <f t="shared" si="52"/>
        <v/>
      </c>
      <c r="H3007" s="35"/>
      <c r="I3007" s="31"/>
      <c r="J3007" s="156">
        <v>0</v>
      </c>
    </row>
    <row r="3008" spans="1:10" ht="26.25" hidden="1" thickBot="1" x14ac:dyDescent="0.3">
      <c r="A3008" s="227"/>
      <c r="B3008" s="225"/>
      <c r="C3008" s="48" t="s">
        <v>945</v>
      </c>
      <c r="D3008" s="47"/>
      <c r="E3008" s="37"/>
      <c r="F3008" s="31" t="s">
        <v>572</v>
      </c>
      <c r="G3008" s="34" t="str">
        <f t="shared" si="52"/>
        <v/>
      </c>
      <c r="H3008" s="35"/>
      <c r="I3008" s="31"/>
      <c r="J3008" s="156">
        <v>0</v>
      </c>
    </row>
    <row r="3009" spans="1:10" ht="26.25" hidden="1" thickBot="1" x14ac:dyDescent="0.3">
      <c r="A3009" s="227"/>
      <c r="B3009" s="225"/>
      <c r="C3009" s="52" t="s">
        <v>898</v>
      </c>
      <c r="D3009" s="47"/>
      <c r="E3009" s="37"/>
      <c r="F3009" s="31" t="s">
        <v>572</v>
      </c>
      <c r="G3009" s="34" t="str">
        <f t="shared" si="52"/>
        <v/>
      </c>
      <c r="H3009" s="35"/>
      <c r="I3009" s="31"/>
      <c r="J3009" s="156">
        <v>0</v>
      </c>
    </row>
    <row r="3010" spans="1:10" ht="15.75" hidden="1" thickBot="1" x14ac:dyDescent="0.3">
      <c r="A3010" s="228"/>
      <c r="B3010" s="226"/>
      <c r="C3010" s="36"/>
      <c r="D3010" s="36"/>
      <c r="E3010" s="37"/>
      <c r="F3010" s="31" t="s">
        <v>572</v>
      </c>
      <c r="G3010" s="34" t="str">
        <f t="shared" si="52"/>
        <v/>
      </c>
      <c r="H3010" s="35"/>
      <c r="I3010" s="31"/>
      <c r="J3010" s="156">
        <v>0</v>
      </c>
    </row>
    <row r="3011" spans="1:10" ht="15.75" hidden="1" thickBot="1" x14ac:dyDescent="0.3">
      <c r="A3011" s="221" t="s">
        <v>946</v>
      </c>
      <c r="B3011" s="224" t="str">
        <f>INDEX(Orçamentária!A:B,MATCH(Composições!A3011,Orçamentária!A:A,0),2)</f>
        <v>Veda fresta adesivo “E” branco</v>
      </c>
      <c r="C3011" s="41"/>
      <c r="D3011" s="26" t="str">
        <f>TRIM(INDEX(Orçamentária!C:C,MATCH(Composições!A3011,Orçamentária!A:A,0),1))</f>
        <v>m</v>
      </c>
      <c r="E3011" s="27"/>
      <c r="F3011" s="42" t="s">
        <v>572</v>
      </c>
      <c r="G3011" s="28" t="str">
        <f t="shared" si="52"/>
        <v/>
      </c>
      <c r="H3011" s="29"/>
      <c r="I3011" s="30"/>
      <c r="J3011" s="156">
        <v>0</v>
      </c>
    </row>
    <row r="3012" spans="1:10" ht="15.75" hidden="1" thickBot="1" x14ac:dyDescent="0.3">
      <c r="A3012" s="222"/>
      <c r="B3012" s="225"/>
      <c r="C3012" s="32"/>
      <c r="D3012" s="32"/>
      <c r="E3012" s="33"/>
      <c r="F3012" s="43" t="s">
        <v>572</v>
      </c>
      <c r="G3012" s="34" t="str">
        <f t="shared" si="52"/>
        <v/>
      </c>
      <c r="H3012" s="35"/>
      <c r="I3012" s="31"/>
      <c r="J3012" s="156">
        <v>0</v>
      </c>
    </row>
    <row r="3013" spans="1:10" ht="15.75" hidden="1" thickBot="1" x14ac:dyDescent="0.3">
      <c r="A3013" s="222"/>
      <c r="B3013" s="225"/>
      <c r="C3013" s="36" t="s">
        <v>68</v>
      </c>
      <c r="D3013" s="36" t="s">
        <v>12</v>
      </c>
      <c r="E3013" s="37">
        <v>0.2</v>
      </c>
      <c r="F3013" s="34">
        <v>20.539000000000001</v>
      </c>
      <c r="G3013" s="34">
        <f t="shared" si="52"/>
        <v>4.1078000000000001</v>
      </c>
      <c r="H3013" s="39">
        <f>SUM(G3013:G3014)</f>
        <v>4.1078000000000001</v>
      </c>
      <c r="I3013" s="40"/>
      <c r="J3013" s="156">
        <v>0</v>
      </c>
    </row>
    <row r="3014" spans="1:10" ht="26.25" hidden="1" thickBot="1" x14ac:dyDescent="0.3">
      <c r="A3014" s="222"/>
      <c r="B3014" s="225"/>
      <c r="C3014" s="36" t="s">
        <v>947</v>
      </c>
      <c r="D3014" s="36" t="s">
        <v>94</v>
      </c>
      <c r="E3014" s="37">
        <v>0.11899999999999999</v>
      </c>
      <c r="F3014" s="31" t="s">
        <v>572</v>
      </c>
      <c r="G3014" s="34" t="str">
        <f t="shared" si="52"/>
        <v/>
      </c>
      <c r="H3014" s="35"/>
      <c r="I3014" s="31"/>
      <c r="J3014" s="156">
        <v>0</v>
      </c>
    </row>
    <row r="3015" spans="1:10" ht="15.75" hidden="1" thickBot="1" x14ac:dyDescent="0.3">
      <c r="A3015" s="223"/>
      <c r="B3015" s="226"/>
      <c r="C3015" s="36"/>
      <c r="D3015" s="36"/>
      <c r="E3015" s="37"/>
      <c r="F3015" s="31" t="s">
        <v>572</v>
      </c>
      <c r="G3015" s="34" t="str">
        <f t="shared" si="52"/>
        <v/>
      </c>
      <c r="H3015" s="35"/>
      <c r="I3015" s="31"/>
      <c r="J3015" s="156">
        <v>0</v>
      </c>
    </row>
    <row r="3016" spans="1:10" ht="15.75" hidden="1" thickBot="1" x14ac:dyDescent="0.3">
      <c r="A3016" s="221" t="s">
        <v>948</v>
      </c>
      <c r="B3016" s="224" t="str">
        <f>INDEX(Orçamentária!A:B,MATCH(Composições!A3016,Orçamentária!A:A,0),2)</f>
        <v>Vedapress 10mm</v>
      </c>
      <c r="C3016" s="41"/>
      <c r="D3016" s="26" t="str">
        <f>TRIM(INDEX(Orçamentária!C:C,MATCH(Composições!A3016,Orçamentária!A:A,0),1))</f>
        <v>m</v>
      </c>
      <c r="E3016" s="27"/>
      <c r="F3016" s="42" t="s">
        <v>572</v>
      </c>
      <c r="G3016" s="28" t="str">
        <f t="shared" si="52"/>
        <v/>
      </c>
      <c r="H3016" s="29"/>
      <c r="I3016" s="30"/>
      <c r="J3016" s="156">
        <v>0</v>
      </c>
    </row>
    <row r="3017" spans="1:10" ht="15.75" hidden="1" thickBot="1" x14ac:dyDescent="0.3">
      <c r="A3017" s="227"/>
      <c r="B3017" s="225"/>
      <c r="C3017" s="32"/>
      <c r="D3017" s="32"/>
      <c r="E3017" s="33"/>
      <c r="F3017" s="43" t="s">
        <v>572</v>
      </c>
      <c r="G3017" s="34" t="str">
        <f t="shared" si="52"/>
        <v/>
      </c>
      <c r="H3017" s="35"/>
      <c r="I3017" s="31"/>
      <c r="J3017" s="156">
        <v>0</v>
      </c>
    </row>
    <row r="3018" spans="1:10" ht="15.75" hidden="1" thickBot="1" x14ac:dyDescent="0.3">
      <c r="A3018" s="227"/>
      <c r="B3018" s="225"/>
      <c r="C3018" s="36" t="s">
        <v>68</v>
      </c>
      <c r="D3018" s="36" t="s">
        <v>12</v>
      </c>
      <c r="E3018" s="37">
        <v>0.3</v>
      </c>
      <c r="F3018" s="34">
        <v>20.539000000000001</v>
      </c>
      <c r="G3018" s="34">
        <f t="shared" si="52"/>
        <v>6.1617000000000006</v>
      </c>
      <c r="H3018" s="39">
        <f>SUM(G3018:G3019)</f>
        <v>10.4609915</v>
      </c>
      <c r="I3018" s="40"/>
      <c r="J3018" s="156">
        <v>0</v>
      </c>
    </row>
    <row r="3019" spans="1:10" ht="15.75" hidden="1" thickBot="1" x14ac:dyDescent="0.3">
      <c r="A3019" s="227"/>
      <c r="B3019" s="225"/>
      <c r="C3019" s="36" t="s">
        <v>893</v>
      </c>
      <c r="D3019" s="36" t="s">
        <v>42</v>
      </c>
      <c r="E3019" s="37">
        <v>0.11899999999999999</v>
      </c>
      <c r="F3019" s="31">
        <v>36.128500000000003</v>
      </c>
      <c r="G3019" s="34">
        <f t="shared" si="52"/>
        <v>4.2992914999999998</v>
      </c>
      <c r="H3019" s="35"/>
      <c r="I3019" s="31"/>
      <c r="J3019" s="156">
        <v>0</v>
      </c>
    </row>
    <row r="3020" spans="1:10" ht="15.75" hidden="1" thickBot="1" x14ac:dyDescent="0.3">
      <c r="A3020" s="227"/>
      <c r="B3020" s="225"/>
      <c r="C3020" s="36"/>
      <c r="D3020" s="36"/>
      <c r="E3020" s="37"/>
      <c r="F3020" s="31" t="s">
        <v>572</v>
      </c>
      <c r="G3020" s="34" t="str">
        <f t="shared" si="52"/>
        <v/>
      </c>
      <c r="H3020" s="35"/>
      <c r="I3020" s="31"/>
      <c r="J3020" s="156">
        <v>0</v>
      </c>
    </row>
    <row r="3021" spans="1:10" ht="39" hidden="1" thickBot="1" x14ac:dyDescent="0.3">
      <c r="A3021" s="227"/>
      <c r="B3021" s="225"/>
      <c r="C3021" s="48" t="s">
        <v>949</v>
      </c>
      <c r="D3021" s="36"/>
      <c r="E3021" s="37"/>
      <c r="F3021" s="31" t="s">
        <v>572</v>
      </c>
      <c r="G3021" s="34" t="str">
        <f t="shared" si="52"/>
        <v/>
      </c>
      <c r="H3021" s="35"/>
      <c r="I3021" s="31"/>
      <c r="J3021" s="156">
        <v>0</v>
      </c>
    </row>
    <row r="3022" spans="1:10" ht="15.75" hidden="1" thickBot="1" x14ac:dyDescent="0.3">
      <c r="A3022" s="227"/>
      <c r="B3022" s="225"/>
      <c r="C3022" s="52" t="s">
        <v>950</v>
      </c>
      <c r="D3022" s="36"/>
      <c r="E3022" s="37"/>
      <c r="F3022" s="31" t="s">
        <v>572</v>
      </c>
      <c r="G3022" s="34" t="str">
        <f t="shared" si="52"/>
        <v/>
      </c>
      <c r="H3022" s="35"/>
      <c r="I3022" s="31"/>
      <c r="J3022" s="156">
        <v>0</v>
      </c>
    </row>
    <row r="3023" spans="1:10" ht="15.75" hidden="1" thickBot="1" x14ac:dyDescent="0.3">
      <c r="A3023" s="228"/>
      <c r="B3023" s="226"/>
      <c r="C3023" s="36"/>
      <c r="D3023" s="36"/>
      <c r="E3023" s="37"/>
      <c r="F3023" s="31" t="s">
        <v>572</v>
      </c>
      <c r="G3023" s="34" t="str">
        <f t="shared" si="52"/>
        <v/>
      </c>
      <c r="H3023" s="35"/>
      <c r="I3023" s="31"/>
      <c r="J3023" s="156">
        <v>0</v>
      </c>
    </row>
    <row r="3024" spans="1:10" ht="15.75" hidden="1" thickBot="1" x14ac:dyDescent="0.3">
      <c r="A3024" s="221" t="s">
        <v>951</v>
      </c>
      <c r="B3024" s="224" t="str">
        <f>INDEX(Orçamentária!A:B,MATCH(Composições!A3024,Orçamentária!A:A,0),2)</f>
        <v>Regulagem de ferragens</v>
      </c>
      <c r="C3024" s="41"/>
      <c r="D3024" s="26" t="str">
        <f>TRIM(INDEX(Orçamentária!C:C,MATCH(Composições!A3024,Orçamentária!A:A,0),1))</f>
        <v>un</v>
      </c>
      <c r="E3024" s="27"/>
      <c r="F3024" s="42" t="s">
        <v>572</v>
      </c>
      <c r="G3024" s="28" t="str">
        <f t="shared" si="52"/>
        <v/>
      </c>
      <c r="H3024" s="29"/>
      <c r="I3024" s="30"/>
      <c r="J3024" s="156">
        <v>0</v>
      </c>
    </row>
    <row r="3025" spans="1:10" ht="15.75" hidden="1" thickBot="1" x14ac:dyDescent="0.3">
      <c r="A3025" s="222"/>
      <c r="B3025" s="225"/>
      <c r="C3025" s="32"/>
      <c r="D3025" s="32"/>
      <c r="E3025" s="33"/>
      <c r="F3025" s="43" t="s">
        <v>572</v>
      </c>
      <c r="G3025" s="34" t="str">
        <f t="shared" si="52"/>
        <v/>
      </c>
      <c r="H3025" s="35"/>
      <c r="I3025" s="31"/>
      <c r="J3025" s="156">
        <v>0</v>
      </c>
    </row>
    <row r="3026" spans="1:10" ht="15.75" hidden="1" thickBot="1" x14ac:dyDescent="0.3">
      <c r="A3026" s="222"/>
      <c r="B3026" s="225"/>
      <c r="C3026" s="36" t="s">
        <v>68</v>
      </c>
      <c r="D3026" s="47" t="s">
        <v>12</v>
      </c>
      <c r="E3026" s="37">
        <v>1.5</v>
      </c>
      <c r="F3026" s="34">
        <v>20.539000000000001</v>
      </c>
      <c r="G3026" s="34">
        <f t="shared" ref="G3026:G3089" si="53">IF(ISNUMBER(F3026),E3026*F3026,"")</f>
        <v>30.808500000000002</v>
      </c>
      <c r="H3026" s="39">
        <f>SUM(G3026:G3026)</f>
        <v>30.808500000000002</v>
      </c>
      <c r="I3026" s="40"/>
      <c r="J3026" s="156">
        <v>0</v>
      </c>
    </row>
    <row r="3027" spans="1:10" ht="15.75" hidden="1" thickBot="1" x14ac:dyDescent="0.3">
      <c r="A3027" s="223"/>
      <c r="B3027" s="226"/>
      <c r="C3027" s="36"/>
      <c r="D3027" s="36"/>
      <c r="E3027" s="37"/>
      <c r="F3027" s="31" t="s">
        <v>572</v>
      </c>
      <c r="G3027" s="34" t="str">
        <f t="shared" si="53"/>
        <v/>
      </c>
      <c r="H3027" s="35"/>
      <c r="I3027" s="31"/>
      <c r="J3027" s="156">
        <v>0</v>
      </c>
    </row>
    <row r="3028" spans="1:10" ht="15.75" hidden="1" thickBot="1" x14ac:dyDescent="0.3">
      <c r="A3028" s="221" t="s">
        <v>952</v>
      </c>
      <c r="B3028" s="224" t="str">
        <f>INDEX(Orçamentária!A:B,MATCH(Composições!A3028,Orçamentária!A:A,0),2)</f>
        <v>Vidro fumê / bronze temperado 10mm</v>
      </c>
      <c r="C3028" s="41"/>
      <c r="D3028" s="26" t="str">
        <f>TRIM(INDEX(Orçamentária!C:C,MATCH(Composições!A3028,Orçamentária!A:A,0),1))</f>
        <v>m2</v>
      </c>
      <c r="E3028" s="27"/>
      <c r="F3028" s="42" t="s">
        <v>572</v>
      </c>
      <c r="G3028" s="28" t="str">
        <f t="shared" si="53"/>
        <v/>
      </c>
      <c r="H3028" s="29"/>
      <c r="I3028" s="30"/>
      <c r="J3028" s="156">
        <v>0</v>
      </c>
    </row>
    <row r="3029" spans="1:10" ht="15.75" hidden="1" thickBot="1" x14ac:dyDescent="0.3">
      <c r="A3029" s="222"/>
      <c r="B3029" s="225"/>
      <c r="C3029" s="32"/>
      <c r="D3029" s="32"/>
      <c r="E3029" s="33"/>
      <c r="F3029" s="43" t="s">
        <v>572</v>
      </c>
      <c r="G3029" s="34" t="str">
        <f t="shared" si="53"/>
        <v/>
      </c>
      <c r="H3029" s="35"/>
      <c r="I3029" s="31"/>
      <c r="J3029" s="156">
        <v>0</v>
      </c>
    </row>
    <row r="3030" spans="1:10" ht="15.75" hidden="1" thickBot="1" x14ac:dyDescent="0.3">
      <c r="A3030" s="222"/>
      <c r="B3030" s="225"/>
      <c r="C3030" s="36" t="s">
        <v>68</v>
      </c>
      <c r="D3030" s="36" t="s">
        <v>12</v>
      </c>
      <c r="E3030" s="37">
        <v>0.5</v>
      </c>
      <c r="F3030" s="34">
        <v>20.539000000000001</v>
      </c>
      <c r="G3030" s="34">
        <f t="shared" si="53"/>
        <v>10.269500000000001</v>
      </c>
      <c r="H3030" s="39">
        <f>SUM(G3030:G3033)</f>
        <v>28.200750000000003</v>
      </c>
      <c r="I3030" s="40"/>
      <c r="J3030" s="156">
        <v>0</v>
      </c>
    </row>
    <row r="3031" spans="1:10" ht="15.75" hidden="1" thickBot="1" x14ac:dyDescent="0.3">
      <c r="A3031" s="222"/>
      <c r="B3031" s="225"/>
      <c r="C3031" s="36" t="s">
        <v>23</v>
      </c>
      <c r="D3031" s="36" t="s">
        <v>12</v>
      </c>
      <c r="E3031" s="37">
        <v>0.5</v>
      </c>
      <c r="F3031" s="34">
        <v>16.311500000000002</v>
      </c>
      <c r="G3031" s="34">
        <f t="shared" si="53"/>
        <v>8.1557500000000012</v>
      </c>
      <c r="H3031" s="35"/>
      <c r="I3031" s="31"/>
      <c r="J3031" s="156">
        <v>0</v>
      </c>
    </row>
    <row r="3032" spans="1:10" ht="15.75" hidden="1" thickBot="1" x14ac:dyDescent="0.3">
      <c r="A3032" s="222"/>
      <c r="B3032" s="225"/>
      <c r="C3032" s="36" t="s">
        <v>309</v>
      </c>
      <c r="D3032" s="36" t="s">
        <v>852</v>
      </c>
      <c r="E3032" s="37">
        <v>1.5</v>
      </c>
      <c r="F3032" s="31">
        <v>6.5170000000000003</v>
      </c>
      <c r="G3032" s="34">
        <f t="shared" si="53"/>
        <v>9.775500000000001</v>
      </c>
      <c r="H3032" s="35"/>
      <c r="I3032" s="31"/>
      <c r="J3032" s="156">
        <v>0</v>
      </c>
    </row>
    <row r="3033" spans="1:10" ht="15.75" hidden="1" thickBot="1" x14ac:dyDescent="0.3">
      <c r="A3033" s="222"/>
      <c r="B3033" s="225"/>
      <c r="C3033" s="36" t="s">
        <v>953</v>
      </c>
      <c r="D3033" s="36" t="s">
        <v>96</v>
      </c>
      <c r="E3033" s="37">
        <v>1</v>
      </c>
      <c r="F3033" s="31" t="s">
        <v>572</v>
      </c>
      <c r="G3033" s="34" t="str">
        <f t="shared" si="53"/>
        <v/>
      </c>
      <c r="H3033" s="35"/>
      <c r="I3033" s="31"/>
      <c r="J3033" s="156">
        <v>0</v>
      </c>
    </row>
    <row r="3034" spans="1:10" ht="15.75" hidden="1" thickBot="1" x14ac:dyDescent="0.3">
      <c r="A3034" s="223"/>
      <c r="B3034" s="226"/>
      <c r="C3034" s="36"/>
      <c r="D3034" s="36"/>
      <c r="E3034" s="37"/>
      <c r="F3034" s="31" t="s">
        <v>572</v>
      </c>
      <c r="G3034" s="34" t="str">
        <f t="shared" si="53"/>
        <v/>
      </c>
      <c r="H3034" s="35"/>
      <c r="I3034" s="31"/>
      <c r="J3034" s="156">
        <v>0</v>
      </c>
    </row>
    <row r="3035" spans="1:10" ht="15.75" hidden="1" thickBot="1" x14ac:dyDescent="0.3">
      <c r="A3035" s="221" t="s">
        <v>954</v>
      </c>
      <c r="B3035" s="224" t="str">
        <f>INDEX(Orçamentária!A:B,MATCH(Composições!A3035,Orçamentária!A:A,0),2)</f>
        <v>Puxador em aço inox sob medida – Tipo B</v>
      </c>
      <c r="C3035" s="41"/>
      <c r="D3035" s="26" t="str">
        <f>TRIM(INDEX(Orçamentária!C:C,MATCH(Composições!A3035,Orçamentária!A:A,0),1))</f>
        <v>un</v>
      </c>
      <c r="E3035" s="27"/>
      <c r="F3035" s="42" t="s">
        <v>572</v>
      </c>
      <c r="G3035" s="28" t="str">
        <f t="shared" si="53"/>
        <v/>
      </c>
      <c r="H3035" s="29"/>
      <c r="I3035" s="30"/>
      <c r="J3035" s="156">
        <v>0</v>
      </c>
    </row>
    <row r="3036" spans="1:10" ht="15.75" hidden="1" thickBot="1" x14ac:dyDescent="0.3">
      <c r="A3036" s="222"/>
      <c r="B3036" s="225"/>
      <c r="C3036" s="32"/>
      <c r="D3036" s="32"/>
      <c r="E3036" s="33"/>
      <c r="F3036" s="43" t="s">
        <v>572</v>
      </c>
      <c r="G3036" s="34" t="str">
        <f t="shared" si="53"/>
        <v/>
      </c>
      <c r="H3036" s="35"/>
      <c r="I3036" s="31"/>
      <c r="J3036" s="156">
        <v>0</v>
      </c>
    </row>
    <row r="3037" spans="1:10" ht="15.75" hidden="1" thickBot="1" x14ac:dyDescent="0.3">
      <c r="A3037" s="222"/>
      <c r="B3037" s="225"/>
      <c r="C3037" s="36" t="s">
        <v>68</v>
      </c>
      <c r="D3037" s="47" t="s">
        <v>12</v>
      </c>
      <c r="E3037" s="37">
        <v>0.4</v>
      </c>
      <c r="F3037" s="34">
        <v>20.539000000000001</v>
      </c>
      <c r="G3037" s="34">
        <f t="shared" si="53"/>
        <v>8.2156000000000002</v>
      </c>
      <c r="H3037" s="39">
        <f>SUM(G3037:G3038)</f>
        <v>8.2156000000000002</v>
      </c>
      <c r="I3037" s="40"/>
      <c r="J3037" s="156">
        <v>0</v>
      </c>
    </row>
    <row r="3038" spans="1:10" ht="15.75" hidden="1" thickBot="1" x14ac:dyDescent="0.3">
      <c r="A3038" s="222"/>
      <c r="B3038" s="225"/>
      <c r="C3038" s="36" t="s">
        <v>955</v>
      </c>
      <c r="D3038" s="47" t="s">
        <v>20</v>
      </c>
      <c r="E3038" s="37">
        <v>1</v>
      </c>
      <c r="F3038" s="31" t="s">
        <v>572</v>
      </c>
      <c r="G3038" s="34" t="str">
        <f t="shared" si="53"/>
        <v/>
      </c>
      <c r="H3038" s="35"/>
      <c r="I3038" s="31"/>
      <c r="J3038" s="156">
        <v>0</v>
      </c>
    </row>
    <row r="3039" spans="1:10" ht="15.75" hidden="1" thickBot="1" x14ac:dyDescent="0.3">
      <c r="A3039" s="223"/>
      <c r="B3039" s="226"/>
      <c r="C3039" s="36"/>
      <c r="D3039" s="36"/>
      <c r="E3039" s="37"/>
      <c r="F3039" s="31" t="s">
        <v>572</v>
      </c>
      <c r="G3039" s="34" t="str">
        <f t="shared" si="53"/>
        <v/>
      </c>
      <c r="H3039" s="35"/>
      <c r="I3039" s="31"/>
      <c r="J3039" s="156">
        <v>0</v>
      </c>
    </row>
    <row r="3040" spans="1:10" ht="15.75" hidden="1" thickBot="1" x14ac:dyDescent="0.3">
      <c r="A3040" s="221" t="s">
        <v>956</v>
      </c>
      <c r="B3040" s="224" t="str">
        <f>INDEX(Orçamentária!A:B,MATCH(Composições!A3040,Orçamentária!A:A,0),2)</f>
        <v>Armação de aço CA-50 bitolas de 5,0mm a 8,00mm</v>
      </c>
      <c r="C3040" s="41"/>
      <c r="D3040" s="26" t="str">
        <f>TRIM(INDEX(Orçamentária!C:C,MATCH(Composições!A3040,Orçamentária!A:A,0),1))</f>
        <v>kg</v>
      </c>
      <c r="E3040" s="27"/>
      <c r="F3040" s="42" t="s">
        <v>572</v>
      </c>
      <c r="G3040" s="28" t="str">
        <f t="shared" si="53"/>
        <v/>
      </c>
      <c r="H3040" s="29"/>
      <c r="I3040" s="30"/>
      <c r="J3040" s="156">
        <v>0</v>
      </c>
    </row>
    <row r="3041" spans="1:10" ht="15.75" hidden="1" thickBot="1" x14ac:dyDescent="0.3">
      <c r="A3041" s="222"/>
      <c r="B3041" s="225"/>
      <c r="C3041" s="32"/>
      <c r="D3041" s="32"/>
      <c r="E3041" s="33"/>
      <c r="F3041" s="43" t="s">
        <v>572</v>
      </c>
      <c r="G3041" s="34" t="str">
        <f t="shared" si="53"/>
        <v/>
      </c>
      <c r="H3041" s="35"/>
      <c r="I3041" s="31"/>
      <c r="J3041" s="156">
        <v>0</v>
      </c>
    </row>
    <row r="3042" spans="1:10" ht="26.25" hidden="1" thickBot="1" x14ac:dyDescent="0.3">
      <c r="A3042" s="222"/>
      <c r="B3042" s="225"/>
      <c r="C3042" s="36" t="s">
        <v>3606</v>
      </c>
      <c r="D3042" s="47" t="s">
        <v>957</v>
      </c>
      <c r="E3042" s="37">
        <v>2.5000000000000001E-2</v>
      </c>
      <c r="F3042" s="31">
        <v>18.838499999999996</v>
      </c>
      <c r="G3042" s="34">
        <f t="shared" si="53"/>
        <v>0.47096249999999995</v>
      </c>
      <c r="H3042" s="39">
        <f>SUM(G3042:G3046)</f>
        <v>14.960537300000002</v>
      </c>
      <c r="I3042" s="40"/>
      <c r="J3042" s="156">
        <v>0</v>
      </c>
    </row>
    <row r="3043" spans="1:10" ht="39" hidden="1" thickBot="1" x14ac:dyDescent="0.3">
      <c r="A3043" s="222"/>
      <c r="B3043" s="225"/>
      <c r="C3043" s="36" t="s">
        <v>958</v>
      </c>
      <c r="D3043" s="47" t="s">
        <v>299</v>
      </c>
      <c r="E3043" s="37">
        <v>0.74299999999999999</v>
      </c>
      <c r="F3043" s="31">
        <v>0.17099999999999999</v>
      </c>
      <c r="G3043" s="34">
        <f t="shared" si="53"/>
        <v>0.127053</v>
      </c>
      <c r="H3043" s="35"/>
      <c r="I3043" s="31"/>
      <c r="J3043" s="156">
        <v>0</v>
      </c>
    </row>
    <row r="3044" spans="1:10" ht="15.75" hidden="1" thickBot="1" x14ac:dyDescent="0.3">
      <c r="A3044" s="222"/>
      <c r="B3044" s="225"/>
      <c r="C3044" s="36" t="s">
        <v>959</v>
      </c>
      <c r="D3044" s="47" t="s">
        <v>759</v>
      </c>
      <c r="E3044" s="37">
        <v>2.0899999999999998E-2</v>
      </c>
      <c r="F3044" s="31">
        <v>17.081</v>
      </c>
      <c r="G3044" s="34">
        <f t="shared" si="53"/>
        <v>0.35699289999999995</v>
      </c>
      <c r="H3044" s="35"/>
      <c r="I3044" s="31"/>
      <c r="J3044" s="156">
        <v>0</v>
      </c>
    </row>
    <row r="3045" spans="1:10" ht="15.75" hidden="1" thickBot="1" x14ac:dyDescent="0.3">
      <c r="A3045" s="222"/>
      <c r="B3045" s="225"/>
      <c r="C3045" s="36" t="s">
        <v>960</v>
      </c>
      <c r="D3045" s="36" t="s">
        <v>759</v>
      </c>
      <c r="E3045" s="37">
        <v>0.1278</v>
      </c>
      <c r="F3045" s="31">
        <v>21.973499999999998</v>
      </c>
      <c r="G3045" s="34">
        <f t="shared" si="53"/>
        <v>2.8082132999999998</v>
      </c>
      <c r="H3045" s="35"/>
      <c r="I3045" s="31"/>
      <c r="J3045" s="156">
        <v>0</v>
      </c>
    </row>
    <row r="3046" spans="1:10" ht="26.25" hidden="1" thickBot="1" x14ac:dyDescent="0.3">
      <c r="A3046" s="222"/>
      <c r="B3046" s="225"/>
      <c r="C3046" s="36" t="s">
        <v>961</v>
      </c>
      <c r="D3046" s="36" t="s">
        <v>957</v>
      </c>
      <c r="E3046" s="37">
        <v>1</v>
      </c>
      <c r="F3046" s="31">
        <v>11.197315600000001</v>
      </c>
      <c r="G3046" s="34">
        <f t="shared" si="53"/>
        <v>11.197315600000001</v>
      </c>
      <c r="H3046" s="35"/>
      <c r="I3046" s="31"/>
      <c r="J3046" s="156">
        <v>0</v>
      </c>
    </row>
    <row r="3047" spans="1:10" ht="15.75" hidden="1" thickBot="1" x14ac:dyDescent="0.3">
      <c r="A3047" s="223"/>
      <c r="B3047" s="226"/>
      <c r="C3047" s="36"/>
      <c r="D3047" s="36"/>
      <c r="E3047" s="37"/>
      <c r="F3047" s="31" t="s">
        <v>572</v>
      </c>
      <c r="G3047" s="34" t="str">
        <f t="shared" si="53"/>
        <v/>
      </c>
      <c r="H3047" s="35"/>
      <c r="I3047" s="31"/>
      <c r="J3047" s="156">
        <v>0</v>
      </c>
    </row>
    <row r="3048" spans="1:10" ht="15.75" hidden="1" thickBot="1" x14ac:dyDescent="0.3">
      <c r="A3048" s="221" t="s">
        <v>962</v>
      </c>
      <c r="B3048" s="224" t="str">
        <f>INDEX(Orçamentária!A:B,MATCH(Composições!A3048,Orçamentária!A:A,0),2)</f>
        <v>Pivô para dobradiça inferior (Montagem com a 1103-TQ)</v>
      </c>
      <c r="C3048" s="41"/>
      <c r="D3048" s="26" t="str">
        <f>TRIM(INDEX(Orçamentária!C:C,MATCH(Composições!A3048,Orçamentária!A:A,0),1))</f>
        <v>un</v>
      </c>
      <c r="E3048" s="27"/>
      <c r="F3048" s="42" t="s">
        <v>572</v>
      </c>
      <c r="G3048" s="28" t="str">
        <f t="shared" si="53"/>
        <v/>
      </c>
      <c r="H3048" s="29"/>
      <c r="I3048" s="30"/>
      <c r="J3048" s="156">
        <v>0</v>
      </c>
    </row>
    <row r="3049" spans="1:10" ht="15.75" hidden="1" thickBot="1" x14ac:dyDescent="0.3">
      <c r="A3049" s="222"/>
      <c r="B3049" s="225"/>
      <c r="C3049" s="32"/>
      <c r="D3049" s="32"/>
      <c r="E3049" s="33"/>
      <c r="F3049" s="43" t="s">
        <v>572</v>
      </c>
      <c r="G3049" s="34" t="str">
        <f t="shared" si="53"/>
        <v/>
      </c>
      <c r="H3049" s="35"/>
      <c r="I3049" s="31"/>
      <c r="J3049" s="156">
        <v>0</v>
      </c>
    </row>
    <row r="3050" spans="1:10" ht="15.75" hidden="1" thickBot="1" x14ac:dyDescent="0.3">
      <c r="A3050" s="222"/>
      <c r="B3050" s="225"/>
      <c r="C3050" s="36" t="s">
        <v>68</v>
      </c>
      <c r="D3050" s="36" t="s">
        <v>12</v>
      </c>
      <c r="E3050" s="37">
        <v>0.2</v>
      </c>
      <c r="F3050" s="34">
        <v>20.539000000000001</v>
      </c>
      <c r="G3050" s="34">
        <f t="shared" si="53"/>
        <v>4.1078000000000001</v>
      </c>
      <c r="H3050" s="39">
        <f>SUM(G3050:G3051)</f>
        <v>4.1078000000000001</v>
      </c>
      <c r="I3050" s="40"/>
      <c r="J3050" s="156">
        <v>0</v>
      </c>
    </row>
    <row r="3051" spans="1:10" ht="26.25" hidden="1" thickBot="1" x14ac:dyDescent="0.3">
      <c r="A3051" s="222"/>
      <c r="B3051" s="225"/>
      <c r="C3051" s="36" t="s">
        <v>963</v>
      </c>
      <c r="D3051" s="36" t="s">
        <v>20</v>
      </c>
      <c r="E3051" s="37">
        <v>1</v>
      </c>
      <c r="F3051" s="31" t="s">
        <v>572</v>
      </c>
      <c r="G3051" s="34" t="str">
        <f t="shared" si="53"/>
        <v/>
      </c>
      <c r="H3051" s="35"/>
      <c r="I3051" s="31"/>
      <c r="J3051" s="156">
        <v>0</v>
      </c>
    </row>
    <row r="3052" spans="1:10" ht="15.75" hidden="1" thickBot="1" x14ac:dyDescent="0.3">
      <c r="A3052" s="223"/>
      <c r="B3052" s="226"/>
      <c r="C3052" s="36"/>
      <c r="D3052" s="36"/>
      <c r="E3052" s="37"/>
      <c r="F3052" s="31" t="s">
        <v>572</v>
      </c>
      <c r="G3052" s="34" t="str">
        <f t="shared" si="53"/>
        <v/>
      </c>
      <c r="H3052" s="35"/>
      <c r="I3052" s="31"/>
      <c r="J3052" s="156">
        <v>0</v>
      </c>
    </row>
    <row r="3053" spans="1:10" ht="15.75" hidden="1" thickBot="1" x14ac:dyDescent="0.3">
      <c r="A3053" s="221" t="s">
        <v>964</v>
      </c>
      <c r="B3053" s="224" t="str">
        <f>INDEX(Orçamentária!A:B,MATCH(Composições!A3053,Orçamentária!A:A,0),2)</f>
        <v>Dobradiça direita inferior excêntrica</v>
      </c>
      <c r="C3053" s="41"/>
      <c r="D3053" s="26" t="str">
        <f>TRIM(INDEX(Orçamentária!C:C,MATCH(Composições!A3053,Orçamentária!A:A,0),1))</f>
        <v>un</v>
      </c>
      <c r="E3053" s="27"/>
      <c r="F3053" s="42" t="s">
        <v>572</v>
      </c>
      <c r="G3053" s="28" t="str">
        <f t="shared" si="53"/>
        <v/>
      </c>
      <c r="H3053" s="29"/>
      <c r="I3053" s="30"/>
      <c r="J3053" s="156">
        <v>0</v>
      </c>
    </row>
    <row r="3054" spans="1:10" ht="15.75" hidden="1" thickBot="1" x14ac:dyDescent="0.3">
      <c r="A3054" s="222"/>
      <c r="B3054" s="225"/>
      <c r="C3054" s="32"/>
      <c r="D3054" s="32"/>
      <c r="E3054" s="33"/>
      <c r="F3054" s="43" t="s">
        <v>572</v>
      </c>
      <c r="G3054" s="34" t="str">
        <f t="shared" si="53"/>
        <v/>
      </c>
      <c r="H3054" s="35"/>
      <c r="I3054" s="31"/>
      <c r="J3054" s="156">
        <v>0</v>
      </c>
    </row>
    <row r="3055" spans="1:10" ht="15.75" hidden="1" thickBot="1" x14ac:dyDescent="0.3">
      <c r="A3055" s="222"/>
      <c r="B3055" s="225"/>
      <c r="C3055" s="36" t="s">
        <v>68</v>
      </c>
      <c r="D3055" s="36" t="s">
        <v>12</v>
      </c>
      <c r="E3055" s="37">
        <v>0.3</v>
      </c>
      <c r="F3055" s="34">
        <v>20.539000000000001</v>
      </c>
      <c r="G3055" s="34">
        <f t="shared" si="53"/>
        <v>6.1617000000000006</v>
      </c>
      <c r="H3055" s="39">
        <f>SUM(G3055:G3056)</f>
        <v>6.1617000000000006</v>
      </c>
      <c r="I3055" s="40"/>
      <c r="J3055" s="156">
        <v>0</v>
      </c>
    </row>
    <row r="3056" spans="1:10" ht="39" hidden="1" thickBot="1" x14ac:dyDescent="0.3">
      <c r="A3056" s="222"/>
      <c r="B3056" s="225"/>
      <c r="C3056" s="36" t="s">
        <v>965</v>
      </c>
      <c r="D3056" s="36" t="s">
        <v>20</v>
      </c>
      <c r="E3056" s="37">
        <v>1</v>
      </c>
      <c r="F3056" s="31" t="s">
        <v>572</v>
      </c>
      <c r="G3056" s="34" t="str">
        <f t="shared" si="53"/>
        <v/>
      </c>
      <c r="H3056" s="35"/>
      <c r="I3056" s="31"/>
      <c r="J3056" s="156">
        <v>0</v>
      </c>
    </row>
    <row r="3057" spans="1:10" ht="15.75" hidden="1" thickBot="1" x14ac:dyDescent="0.3">
      <c r="A3057" s="223"/>
      <c r="B3057" s="226"/>
      <c r="C3057" s="36"/>
      <c r="D3057" s="36"/>
      <c r="E3057" s="37"/>
      <c r="F3057" s="31" t="s">
        <v>572</v>
      </c>
      <c r="G3057" s="34" t="str">
        <f t="shared" si="53"/>
        <v/>
      </c>
      <c r="H3057" s="35"/>
      <c r="I3057" s="31"/>
      <c r="J3057" s="156">
        <v>0</v>
      </c>
    </row>
    <row r="3058" spans="1:10" ht="15.75" hidden="1" thickBot="1" x14ac:dyDescent="0.3">
      <c r="A3058" s="221" t="s">
        <v>966</v>
      </c>
      <c r="B3058" s="224" t="str">
        <f>INDEX(Orçamentária!A:B,MATCH(Composições!A3058,Orçamentária!A:A,0),2)</f>
        <v>Dobradiça esquerda inferior excêntrica</v>
      </c>
      <c r="C3058" s="41"/>
      <c r="D3058" s="26" t="str">
        <f>TRIM(INDEX(Orçamentária!C:C,MATCH(Composições!A3058,Orçamentária!A:A,0),1))</f>
        <v>un</v>
      </c>
      <c r="E3058" s="27"/>
      <c r="F3058" s="42" t="s">
        <v>572</v>
      </c>
      <c r="G3058" s="28" t="str">
        <f t="shared" si="53"/>
        <v/>
      </c>
      <c r="H3058" s="29"/>
      <c r="I3058" s="30"/>
      <c r="J3058" s="156">
        <v>0</v>
      </c>
    </row>
    <row r="3059" spans="1:10" ht="15.75" hidden="1" thickBot="1" x14ac:dyDescent="0.3">
      <c r="A3059" s="222"/>
      <c r="B3059" s="225"/>
      <c r="C3059" s="32"/>
      <c r="D3059" s="32"/>
      <c r="E3059" s="33"/>
      <c r="F3059" s="43" t="s">
        <v>572</v>
      </c>
      <c r="G3059" s="34" t="str">
        <f t="shared" si="53"/>
        <v/>
      </c>
      <c r="H3059" s="35"/>
      <c r="I3059" s="31"/>
      <c r="J3059" s="156">
        <v>0</v>
      </c>
    </row>
    <row r="3060" spans="1:10" ht="15.75" hidden="1" thickBot="1" x14ac:dyDescent="0.3">
      <c r="A3060" s="222"/>
      <c r="B3060" s="225"/>
      <c r="C3060" s="36" t="s">
        <v>68</v>
      </c>
      <c r="D3060" s="36" t="s">
        <v>12</v>
      </c>
      <c r="E3060" s="37">
        <v>0.3</v>
      </c>
      <c r="F3060" s="34">
        <v>20.539000000000001</v>
      </c>
      <c r="G3060" s="34">
        <f t="shared" si="53"/>
        <v>6.1617000000000006</v>
      </c>
      <c r="H3060" s="39">
        <f>SUM(G3060:G3061)</f>
        <v>6.1617000000000006</v>
      </c>
      <c r="I3060" s="40"/>
      <c r="J3060" s="156">
        <v>0</v>
      </c>
    </row>
    <row r="3061" spans="1:10" ht="39" hidden="1" thickBot="1" x14ac:dyDescent="0.3">
      <c r="A3061" s="222"/>
      <c r="B3061" s="225"/>
      <c r="C3061" s="36" t="s">
        <v>967</v>
      </c>
      <c r="D3061" s="36" t="s">
        <v>20</v>
      </c>
      <c r="E3061" s="37">
        <v>1</v>
      </c>
      <c r="F3061" s="31" t="s">
        <v>572</v>
      </c>
      <c r="G3061" s="34" t="str">
        <f t="shared" si="53"/>
        <v/>
      </c>
      <c r="H3061" s="35"/>
      <c r="I3061" s="31"/>
      <c r="J3061" s="156">
        <v>0</v>
      </c>
    </row>
    <row r="3062" spans="1:10" ht="15.75" hidden="1" thickBot="1" x14ac:dyDescent="0.3">
      <c r="A3062" s="223"/>
      <c r="B3062" s="226"/>
      <c r="C3062" s="36"/>
      <c r="D3062" s="36"/>
      <c r="E3062" s="37"/>
      <c r="F3062" s="31" t="s">
        <v>572</v>
      </c>
      <c r="G3062" s="34" t="str">
        <f t="shared" si="53"/>
        <v/>
      </c>
      <c r="H3062" s="35"/>
      <c r="I3062" s="31"/>
      <c r="J3062" s="156">
        <v>0</v>
      </c>
    </row>
    <row r="3063" spans="1:10" ht="15.75" hidden="1" thickBot="1" x14ac:dyDescent="0.3">
      <c r="A3063" s="221" t="s">
        <v>968</v>
      </c>
      <c r="B3063" s="224" t="str">
        <f>INDEX(Orçamentária!A:B,MATCH(Composições!A3063,Orçamentária!A:A,0),2)</f>
        <v>Dobradiça pivotante inferior com trinco</v>
      </c>
      <c r="C3063" s="41"/>
      <c r="D3063" s="26" t="str">
        <f>TRIM(INDEX(Orçamentária!C:C,MATCH(Composições!A3063,Orçamentária!A:A,0),1))</f>
        <v>un</v>
      </c>
      <c r="E3063" s="27"/>
      <c r="F3063" s="42" t="s">
        <v>572</v>
      </c>
      <c r="G3063" s="28" t="str">
        <f t="shared" si="53"/>
        <v/>
      </c>
      <c r="H3063" s="29"/>
      <c r="I3063" s="30"/>
      <c r="J3063" s="156">
        <v>0</v>
      </c>
    </row>
    <row r="3064" spans="1:10" ht="15.75" hidden="1" thickBot="1" x14ac:dyDescent="0.3">
      <c r="A3064" s="222"/>
      <c r="B3064" s="225"/>
      <c r="C3064" s="32"/>
      <c r="D3064" s="32"/>
      <c r="E3064" s="33"/>
      <c r="F3064" s="43" t="s">
        <v>572</v>
      </c>
      <c r="G3064" s="34" t="str">
        <f t="shared" si="53"/>
        <v/>
      </c>
      <c r="H3064" s="35"/>
      <c r="I3064" s="31"/>
      <c r="J3064" s="156">
        <v>0</v>
      </c>
    </row>
    <row r="3065" spans="1:10" ht="15.75" hidden="1" thickBot="1" x14ac:dyDescent="0.3">
      <c r="A3065" s="222"/>
      <c r="B3065" s="225"/>
      <c r="C3065" s="36" t="s">
        <v>68</v>
      </c>
      <c r="D3065" s="36" t="s">
        <v>12</v>
      </c>
      <c r="E3065" s="37">
        <v>0.3</v>
      </c>
      <c r="F3065" s="34">
        <v>20.539000000000001</v>
      </c>
      <c r="G3065" s="34">
        <f t="shared" si="53"/>
        <v>6.1617000000000006</v>
      </c>
      <c r="H3065" s="39">
        <f>SUM(G3065:G3066)</f>
        <v>6.1617000000000006</v>
      </c>
      <c r="I3065" s="40"/>
      <c r="J3065" s="156">
        <v>0</v>
      </c>
    </row>
    <row r="3066" spans="1:10" ht="26.25" hidden="1" thickBot="1" x14ac:dyDescent="0.3">
      <c r="A3066" s="222"/>
      <c r="B3066" s="225"/>
      <c r="C3066" s="36" t="s">
        <v>969</v>
      </c>
      <c r="D3066" s="36" t="s">
        <v>20</v>
      </c>
      <c r="E3066" s="37">
        <v>1</v>
      </c>
      <c r="F3066" s="31" t="s">
        <v>572</v>
      </c>
      <c r="G3066" s="34" t="str">
        <f t="shared" si="53"/>
        <v/>
      </c>
      <c r="H3066" s="35"/>
      <c r="I3066" s="31"/>
      <c r="J3066" s="156">
        <v>0</v>
      </c>
    </row>
    <row r="3067" spans="1:10" ht="15.75" hidden="1" thickBot="1" x14ac:dyDescent="0.3">
      <c r="A3067" s="223"/>
      <c r="B3067" s="226"/>
      <c r="C3067" s="36"/>
      <c r="D3067" s="36"/>
      <c r="E3067" s="37"/>
      <c r="F3067" s="31" t="s">
        <v>572</v>
      </c>
      <c r="G3067" s="34" t="str">
        <f t="shared" si="53"/>
        <v/>
      </c>
      <c r="H3067" s="35"/>
      <c r="I3067" s="31"/>
      <c r="J3067" s="156">
        <v>0</v>
      </c>
    </row>
    <row r="3068" spans="1:10" ht="15.75" hidden="1" thickBot="1" x14ac:dyDescent="0.3">
      <c r="A3068" s="221" t="s">
        <v>970</v>
      </c>
      <c r="B3068" s="224" t="str">
        <f>INDEX(Orçamentária!A:B,MATCH(Composições!A3068,Orçamentária!A:A,0),2)</f>
        <v>Carrinho para porta de correr 1 roldana e 2 furos</v>
      </c>
      <c r="C3068" s="41"/>
      <c r="D3068" s="26" t="str">
        <f>TRIM(INDEX(Orçamentária!C:C,MATCH(Composições!A3068,Orçamentária!A:A,0),1))</f>
        <v>un</v>
      </c>
      <c r="E3068" s="27"/>
      <c r="F3068" s="42" t="s">
        <v>572</v>
      </c>
      <c r="G3068" s="28" t="str">
        <f t="shared" si="53"/>
        <v/>
      </c>
      <c r="H3068" s="29"/>
      <c r="I3068" s="30"/>
      <c r="J3068" s="156">
        <v>0</v>
      </c>
    </row>
    <row r="3069" spans="1:10" ht="15.75" hidden="1" thickBot="1" x14ac:dyDescent="0.3">
      <c r="A3069" s="222"/>
      <c r="B3069" s="225"/>
      <c r="C3069" s="32"/>
      <c r="D3069" s="32"/>
      <c r="E3069" s="33"/>
      <c r="F3069" s="43" t="s">
        <v>572</v>
      </c>
      <c r="G3069" s="34" t="str">
        <f t="shared" si="53"/>
        <v/>
      </c>
      <c r="H3069" s="35"/>
      <c r="I3069" s="31"/>
      <c r="J3069" s="156">
        <v>0</v>
      </c>
    </row>
    <row r="3070" spans="1:10" ht="15.75" hidden="1" thickBot="1" x14ac:dyDescent="0.3">
      <c r="A3070" s="222"/>
      <c r="B3070" s="225"/>
      <c r="C3070" s="36" t="s">
        <v>68</v>
      </c>
      <c r="D3070" s="36" t="s">
        <v>12</v>
      </c>
      <c r="E3070" s="37">
        <v>0.15</v>
      </c>
      <c r="F3070" s="34">
        <v>20.539000000000001</v>
      </c>
      <c r="G3070" s="34">
        <f t="shared" si="53"/>
        <v>3.0808500000000003</v>
      </c>
      <c r="H3070" s="39">
        <f>SUM(G3070:G3071)</f>
        <v>3.0808500000000003</v>
      </c>
      <c r="I3070" s="40"/>
      <c r="J3070" s="156">
        <v>0</v>
      </c>
    </row>
    <row r="3071" spans="1:10" ht="26.25" hidden="1" thickBot="1" x14ac:dyDescent="0.3">
      <c r="A3071" s="222"/>
      <c r="B3071" s="225"/>
      <c r="C3071" s="36" t="s">
        <v>971</v>
      </c>
      <c r="D3071" s="36" t="s">
        <v>20</v>
      </c>
      <c r="E3071" s="37">
        <v>1</v>
      </c>
      <c r="F3071" s="31" t="s">
        <v>572</v>
      </c>
      <c r="G3071" s="34" t="str">
        <f t="shared" si="53"/>
        <v/>
      </c>
      <c r="H3071" s="35"/>
      <c r="I3071" s="31"/>
      <c r="J3071" s="156">
        <v>0</v>
      </c>
    </row>
    <row r="3072" spans="1:10" ht="15.75" hidden="1" thickBot="1" x14ac:dyDescent="0.3">
      <c r="A3072" s="223"/>
      <c r="B3072" s="226"/>
      <c r="C3072" s="36"/>
      <c r="D3072" s="36"/>
      <c r="E3072" s="37"/>
      <c r="F3072" s="31" t="s">
        <v>572</v>
      </c>
      <c r="G3072" s="34" t="str">
        <f t="shared" si="53"/>
        <v/>
      </c>
      <c r="H3072" s="35"/>
      <c r="I3072" s="31"/>
      <c r="J3072" s="156">
        <v>0</v>
      </c>
    </row>
    <row r="3073" spans="1:10" ht="15.75" hidden="1" thickBot="1" x14ac:dyDescent="0.3">
      <c r="A3073" s="221" t="s">
        <v>972</v>
      </c>
      <c r="B3073" s="224" t="str">
        <f>INDEX(Orçamentária!A:B,MATCH(Composições!A3073,Orçamentária!A:A,0),2)</f>
        <v>Carrinho para porta de correr 2 roldanas e 2 furos</v>
      </c>
      <c r="C3073" s="41"/>
      <c r="D3073" s="26" t="str">
        <f>TRIM(INDEX(Orçamentária!C:C,MATCH(Composições!A3073,Orçamentária!A:A,0),1))</f>
        <v>un</v>
      </c>
      <c r="E3073" s="27"/>
      <c r="F3073" s="42" t="s">
        <v>572</v>
      </c>
      <c r="G3073" s="28" t="str">
        <f t="shared" si="53"/>
        <v/>
      </c>
      <c r="H3073" s="29"/>
      <c r="I3073" s="30"/>
      <c r="J3073" s="156">
        <v>0</v>
      </c>
    </row>
    <row r="3074" spans="1:10" ht="15.75" hidden="1" thickBot="1" x14ac:dyDescent="0.3">
      <c r="A3074" s="222"/>
      <c r="B3074" s="225"/>
      <c r="C3074" s="32"/>
      <c r="D3074" s="32"/>
      <c r="E3074" s="33"/>
      <c r="F3074" s="43" t="s">
        <v>572</v>
      </c>
      <c r="G3074" s="34" t="str">
        <f t="shared" si="53"/>
        <v/>
      </c>
      <c r="H3074" s="35"/>
      <c r="I3074" s="31"/>
      <c r="J3074" s="156">
        <v>0</v>
      </c>
    </row>
    <row r="3075" spans="1:10" ht="15.75" hidden="1" thickBot="1" x14ac:dyDescent="0.3">
      <c r="A3075" s="222"/>
      <c r="B3075" s="225"/>
      <c r="C3075" s="36" t="s">
        <v>68</v>
      </c>
      <c r="D3075" s="36" t="s">
        <v>12</v>
      </c>
      <c r="E3075" s="37">
        <v>0.15</v>
      </c>
      <c r="F3075" s="34">
        <v>20.539000000000001</v>
      </c>
      <c r="G3075" s="34">
        <f t="shared" si="53"/>
        <v>3.0808500000000003</v>
      </c>
      <c r="H3075" s="39">
        <f>SUM(G3075:G3076)</f>
        <v>3.0808500000000003</v>
      </c>
      <c r="I3075" s="40"/>
      <c r="J3075" s="156">
        <v>0</v>
      </c>
    </row>
    <row r="3076" spans="1:10" ht="26.25" hidden="1" thickBot="1" x14ac:dyDescent="0.3">
      <c r="A3076" s="222"/>
      <c r="B3076" s="225"/>
      <c r="C3076" s="36" t="s">
        <v>973</v>
      </c>
      <c r="D3076" s="36" t="s">
        <v>20</v>
      </c>
      <c r="E3076" s="37">
        <v>1</v>
      </c>
      <c r="F3076" s="31" t="s">
        <v>572</v>
      </c>
      <c r="G3076" s="34" t="str">
        <f t="shared" si="53"/>
        <v/>
      </c>
      <c r="H3076" s="35"/>
      <c r="I3076" s="31"/>
      <c r="J3076" s="156">
        <v>0</v>
      </c>
    </row>
    <row r="3077" spans="1:10" ht="15.75" hidden="1" thickBot="1" x14ac:dyDescent="0.3">
      <c r="A3077" s="223"/>
      <c r="B3077" s="226"/>
      <c r="C3077" s="36"/>
      <c r="D3077" s="36"/>
      <c r="E3077" s="37"/>
      <c r="F3077" s="31" t="s">
        <v>572</v>
      </c>
      <c r="G3077" s="34" t="str">
        <f t="shared" si="53"/>
        <v/>
      </c>
      <c r="H3077" s="35"/>
      <c r="I3077" s="31"/>
      <c r="J3077" s="156">
        <v>0</v>
      </c>
    </row>
    <row r="3078" spans="1:10" ht="15.75" hidden="1" thickBot="1" x14ac:dyDescent="0.3">
      <c r="A3078" s="221" t="s">
        <v>974</v>
      </c>
      <c r="B3078" s="224" t="str">
        <f>INDEX(Orçamentária!A:B,MATCH(Composições!A3078,Orçamentária!A:A,0),2)</f>
        <v>Carrinho para porta de correr com roldana côncava</v>
      </c>
      <c r="C3078" s="41"/>
      <c r="D3078" s="26" t="str">
        <f>TRIM(INDEX(Orçamentária!C:C,MATCH(Composições!A3078,Orçamentária!A:A,0),1))</f>
        <v>un</v>
      </c>
      <c r="E3078" s="27"/>
      <c r="F3078" s="42" t="s">
        <v>572</v>
      </c>
      <c r="G3078" s="28" t="str">
        <f t="shared" si="53"/>
        <v/>
      </c>
      <c r="H3078" s="29"/>
      <c r="I3078" s="30"/>
      <c r="J3078" s="156">
        <v>0</v>
      </c>
    </row>
    <row r="3079" spans="1:10" ht="15.75" hidden="1" thickBot="1" x14ac:dyDescent="0.3">
      <c r="A3079" s="222"/>
      <c r="B3079" s="225"/>
      <c r="C3079" s="32"/>
      <c r="D3079" s="32"/>
      <c r="E3079" s="33"/>
      <c r="F3079" s="43" t="s">
        <v>572</v>
      </c>
      <c r="G3079" s="34" t="str">
        <f t="shared" si="53"/>
        <v/>
      </c>
      <c r="H3079" s="35"/>
      <c r="I3079" s="31"/>
      <c r="J3079" s="156">
        <v>0</v>
      </c>
    </row>
    <row r="3080" spans="1:10" ht="15.75" hidden="1" thickBot="1" x14ac:dyDescent="0.3">
      <c r="A3080" s="222"/>
      <c r="B3080" s="225"/>
      <c r="C3080" s="36" t="s">
        <v>68</v>
      </c>
      <c r="D3080" s="36" t="s">
        <v>12</v>
      </c>
      <c r="E3080" s="37">
        <v>0.15</v>
      </c>
      <c r="F3080" s="34">
        <v>20.539000000000001</v>
      </c>
      <c r="G3080" s="34">
        <f t="shared" si="53"/>
        <v>3.0808500000000003</v>
      </c>
      <c r="H3080" s="39">
        <f>SUM(G3080:G3081)</f>
        <v>3.0808500000000003</v>
      </c>
      <c r="I3080" s="40"/>
      <c r="J3080" s="156">
        <v>0</v>
      </c>
    </row>
    <row r="3081" spans="1:10" ht="26.25" hidden="1" thickBot="1" x14ac:dyDescent="0.3">
      <c r="A3081" s="222"/>
      <c r="B3081" s="225"/>
      <c r="C3081" s="36" t="s">
        <v>975</v>
      </c>
      <c r="D3081" s="36" t="s">
        <v>20</v>
      </c>
      <c r="E3081" s="37">
        <v>1</v>
      </c>
      <c r="F3081" s="31" t="s">
        <v>572</v>
      </c>
      <c r="G3081" s="34" t="str">
        <f t="shared" si="53"/>
        <v/>
      </c>
      <c r="H3081" s="35"/>
      <c r="I3081" s="31"/>
      <c r="J3081" s="156">
        <v>0</v>
      </c>
    </row>
    <row r="3082" spans="1:10" ht="15.75" hidden="1" thickBot="1" x14ac:dyDescent="0.3">
      <c r="A3082" s="223"/>
      <c r="B3082" s="226"/>
      <c r="C3082" s="36"/>
      <c r="D3082" s="36"/>
      <c r="E3082" s="37"/>
      <c r="F3082" s="31" t="s">
        <v>572</v>
      </c>
      <c r="G3082" s="34" t="str">
        <f t="shared" si="53"/>
        <v/>
      </c>
      <c r="H3082" s="35"/>
      <c r="I3082" s="31"/>
      <c r="J3082" s="156">
        <v>0</v>
      </c>
    </row>
    <row r="3083" spans="1:10" ht="15.75" hidden="1" thickBot="1" x14ac:dyDescent="0.3">
      <c r="A3083" s="221" t="s">
        <v>976</v>
      </c>
      <c r="B3083" s="224" t="str">
        <f>INDEX(Orçamentária!A:B,MATCH(Composições!A3083,Orçamentária!A:A,0),2)</f>
        <v>Guia de nylon para porta de correr</v>
      </c>
      <c r="C3083" s="41"/>
      <c r="D3083" s="26" t="str">
        <f>TRIM(INDEX(Orçamentária!C:C,MATCH(Composições!A3083,Orçamentária!A:A,0),1))</f>
        <v>un</v>
      </c>
      <c r="E3083" s="27"/>
      <c r="F3083" s="42" t="s">
        <v>572</v>
      </c>
      <c r="G3083" s="28" t="str">
        <f t="shared" si="53"/>
        <v/>
      </c>
      <c r="H3083" s="29"/>
      <c r="I3083" s="30"/>
      <c r="J3083" s="156">
        <v>0</v>
      </c>
    </row>
    <row r="3084" spans="1:10" ht="15.75" hidden="1" thickBot="1" x14ac:dyDescent="0.3">
      <c r="A3084" s="222"/>
      <c r="B3084" s="225"/>
      <c r="C3084" s="32"/>
      <c r="D3084" s="32"/>
      <c r="E3084" s="33"/>
      <c r="F3084" s="43" t="s">
        <v>572</v>
      </c>
      <c r="G3084" s="34" t="str">
        <f t="shared" si="53"/>
        <v/>
      </c>
      <c r="H3084" s="35"/>
      <c r="I3084" s="31"/>
      <c r="J3084" s="156">
        <v>0</v>
      </c>
    </row>
    <row r="3085" spans="1:10" ht="15.75" hidden="1" thickBot="1" x14ac:dyDescent="0.3">
      <c r="A3085" s="222"/>
      <c r="B3085" s="225"/>
      <c r="C3085" s="36" t="s">
        <v>68</v>
      </c>
      <c r="D3085" s="36" t="s">
        <v>12</v>
      </c>
      <c r="E3085" s="37">
        <v>0.15</v>
      </c>
      <c r="F3085" s="34">
        <v>20.539000000000001</v>
      </c>
      <c r="G3085" s="34">
        <f t="shared" si="53"/>
        <v>3.0808500000000003</v>
      </c>
      <c r="H3085" s="39">
        <f>SUM(G3085:G3086)</f>
        <v>3.0808500000000003</v>
      </c>
      <c r="I3085" s="40"/>
      <c r="J3085" s="156">
        <v>0</v>
      </c>
    </row>
    <row r="3086" spans="1:10" ht="15.75" hidden="1" thickBot="1" x14ac:dyDescent="0.3">
      <c r="A3086" s="222"/>
      <c r="B3086" s="225"/>
      <c r="C3086" s="36" t="s">
        <v>977</v>
      </c>
      <c r="D3086" s="36" t="s">
        <v>20</v>
      </c>
      <c r="E3086" s="37">
        <v>1</v>
      </c>
      <c r="F3086" s="31" t="s">
        <v>572</v>
      </c>
      <c r="G3086" s="34" t="str">
        <f t="shared" si="53"/>
        <v/>
      </c>
      <c r="H3086" s="35"/>
      <c r="I3086" s="31"/>
      <c r="J3086" s="156">
        <v>0</v>
      </c>
    </row>
    <row r="3087" spans="1:10" ht="15.75" hidden="1" thickBot="1" x14ac:dyDescent="0.3">
      <c r="A3087" s="223"/>
      <c r="B3087" s="226"/>
      <c r="C3087" s="36"/>
      <c r="D3087" s="36"/>
      <c r="E3087" s="37"/>
      <c r="F3087" s="31" t="s">
        <v>572</v>
      </c>
      <c r="G3087" s="34" t="str">
        <f t="shared" si="53"/>
        <v/>
      </c>
      <c r="H3087" s="35"/>
      <c r="I3087" s="31"/>
      <c r="J3087" s="156">
        <v>0</v>
      </c>
    </row>
    <row r="3088" spans="1:10" ht="15.75" hidden="1" thickBot="1" x14ac:dyDescent="0.3">
      <c r="A3088" s="221" t="s">
        <v>978</v>
      </c>
      <c r="B3088" s="224" t="str">
        <f>INDEX(Orçamentária!A:B,MATCH(Composições!A3088,Orçamentária!A:A,0),2)</f>
        <v>Puxador H tubular em aço inox, comprimento 45cm, para portas de vidro temperado</v>
      </c>
      <c r="C3088" s="41"/>
      <c r="D3088" s="26" t="str">
        <f>TRIM(INDEX(Orçamentária!C:C,MATCH(Composições!A3088,Orçamentária!A:A,0),1))</f>
        <v>un</v>
      </c>
      <c r="E3088" s="27"/>
      <c r="F3088" s="42" t="s">
        <v>572</v>
      </c>
      <c r="G3088" s="28" t="str">
        <f t="shared" si="53"/>
        <v/>
      </c>
      <c r="H3088" s="29"/>
      <c r="I3088" s="30"/>
      <c r="J3088" s="156">
        <v>0</v>
      </c>
    </row>
    <row r="3089" spans="1:10" ht="15.75" hidden="1" thickBot="1" x14ac:dyDescent="0.3">
      <c r="A3089" s="222"/>
      <c r="B3089" s="225"/>
      <c r="C3089" s="32"/>
      <c r="D3089" s="32"/>
      <c r="E3089" s="33"/>
      <c r="F3089" s="43" t="s">
        <v>572</v>
      </c>
      <c r="G3089" s="34" t="str">
        <f t="shared" si="53"/>
        <v/>
      </c>
      <c r="H3089" s="35"/>
      <c r="I3089" s="31"/>
      <c r="J3089" s="156">
        <v>0</v>
      </c>
    </row>
    <row r="3090" spans="1:10" ht="15.75" hidden="1" thickBot="1" x14ac:dyDescent="0.3">
      <c r="A3090" s="222"/>
      <c r="B3090" s="225"/>
      <c r="C3090" s="36" t="s">
        <v>68</v>
      </c>
      <c r="D3090" s="36" t="s">
        <v>12</v>
      </c>
      <c r="E3090" s="37">
        <v>0.4</v>
      </c>
      <c r="F3090" s="34">
        <v>20.539000000000001</v>
      </c>
      <c r="G3090" s="34">
        <f t="shared" ref="G3090:G3153" si="54">IF(ISNUMBER(F3090),E3090*F3090,"")</f>
        <v>8.2156000000000002</v>
      </c>
      <c r="H3090" s="39">
        <f>SUM(G3090:G3091)</f>
        <v>8.2156000000000002</v>
      </c>
      <c r="I3090" s="40"/>
      <c r="J3090" s="156">
        <v>0</v>
      </c>
    </row>
    <row r="3091" spans="1:10" ht="39" hidden="1" thickBot="1" x14ac:dyDescent="0.3">
      <c r="A3091" s="222"/>
      <c r="B3091" s="225"/>
      <c r="C3091" s="36" t="s">
        <v>979</v>
      </c>
      <c r="D3091" s="36" t="s">
        <v>20</v>
      </c>
      <c r="E3091" s="37">
        <v>1</v>
      </c>
      <c r="F3091" s="31" t="s">
        <v>572</v>
      </c>
      <c r="G3091" s="34" t="str">
        <f t="shared" si="54"/>
        <v/>
      </c>
      <c r="H3091" s="35"/>
      <c r="I3091" s="31"/>
      <c r="J3091" s="156">
        <v>0</v>
      </c>
    </row>
    <row r="3092" spans="1:10" ht="15.75" hidden="1" thickBot="1" x14ac:dyDescent="0.3">
      <c r="A3092" s="223"/>
      <c r="B3092" s="226"/>
      <c r="C3092" s="36"/>
      <c r="D3092" s="36"/>
      <c r="E3092" s="37"/>
      <c r="F3092" s="31" t="s">
        <v>572</v>
      </c>
      <c r="G3092" s="34" t="str">
        <f t="shared" si="54"/>
        <v/>
      </c>
      <c r="H3092" s="35"/>
      <c r="I3092" s="31"/>
      <c r="J3092" s="156">
        <v>0</v>
      </c>
    </row>
    <row r="3093" spans="1:10" ht="15.75" hidden="1" thickBot="1" x14ac:dyDescent="0.3">
      <c r="A3093" s="221" t="s">
        <v>980</v>
      </c>
      <c r="B3093" s="224" t="str">
        <f>INDEX(Orçamentária!A:B,MATCH(Composições!A3093,Orçamentária!A:A,0),2)</f>
        <v>Transporte de vidros</v>
      </c>
      <c r="C3093" s="41"/>
      <c r="D3093" s="26" t="str">
        <f>TRIM(INDEX(Orçamentária!C:C,MATCH(Composições!A3093,Orçamentária!A:A,0),1))</f>
        <v>m2 x km</v>
      </c>
      <c r="E3093" s="27"/>
      <c r="F3093" s="42" t="s">
        <v>572</v>
      </c>
      <c r="G3093" s="28" t="str">
        <f t="shared" si="54"/>
        <v/>
      </c>
      <c r="H3093" s="29"/>
      <c r="I3093" s="30"/>
      <c r="J3093" s="156">
        <v>0</v>
      </c>
    </row>
    <row r="3094" spans="1:10" ht="15.75" hidden="1" thickBot="1" x14ac:dyDescent="0.3">
      <c r="A3094" s="227"/>
      <c r="B3094" s="225"/>
      <c r="C3094" s="32"/>
      <c r="D3094" s="32"/>
      <c r="E3094" s="33"/>
      <c r="F3094" s="43" t="s">
        <v>572</v>
      </c>
      <c r="G3094" s="34" t="str">
        <f t="shared" si="54"/>
        <v/>
      </c>
      <c r="H3094" s="35"/>
      <c r="I3094" s="31"/>
      <c r="J3094" s="156">
        <v>0</v>
      </c>
    </row>
    <row r="3095" spans="1:10" ht="15.75" hidden="1" thickBot="1" x14ac:dyDescent="0.3">
      <c r="A3095" s="227"/>
      <c r="B3095" s="225"/>
      <c r="C3095" s="36" t="s">
        <v>23</v>
      </c>
      <c r="D3095" s="36" t="s">
        <v>12</v>
      </c>
      <c r="E3095" s="37">
        <v>2.9209999999999998</v>
      </c>
      <c r="F3095" s="34">
        <v>16.311500000000002</v>
      </c>
      <c r="G3095" s="34">
        <f t="shared" si="54"/>
        <v>47.645891500000005</v>
      </c>
      <c r="H3095" s="39">
        <f>SUM(G3095:G3095)</f>
        <v>47.645891500000005</v>
      </c>
      <c r="I3095" s="40"/>
      <c r="J3095" s="156">
        <v>0</v>
      </c>
    </row>
    <row r="3096" spans="1:10" ht="15.75" hidden="1" thickBot="1" x14ac:dyDescent="0.3">
      <c r="A3096" s="227"/>
      <c r="B3096" s="225"/>
      <c r="C3096" s="36"/>
      <c r="D3096" s="36"/>
      <c r="E3096" s="37"/>
      <c r="F3096" s="31" t="s">
        <v>572</v>
      </c>
      <c r="G3096" s="34" t="str">
        <f t="shared" si="54"/>
        <v/>
      </c>
      <c r="H3096" s="35"/>
      <c r="I3096" s="31"/>
      <c r="J3096" s="156">
        <v>0</v>
      </c>
    </row>
    <row r="3097" spans="1:10" ht="15.75" hidden="1" thickBot="1" x14ac:dyDescent="0.3">
      <c r="A3097" s="227"/>
      <c r="B3097" s="225"/>
      <c r="C3097" s="52" t="s">
        <v>950</v>
      </c>
      <c r="D3097" s="36"/>
      <c r="E3097" s="37"/>
      <c r="F3097" s="31" t="s">
        <v>572</v>
      </c>
      <c r="G3097" s="34" t="str">
        <f t="shared" si="54"/>
        <v/>
      </c>
      <c r="H3097" s="35"/>
      <c r="I3097" s="31"/>
      <c r="J3097" s="156">
        <v>0</v>
      </c>
    </row>
    <row r="3098" spans="1:10" ht="15.75" hidden="1" thickBot="1" x14ac:dyDescent="0.3">
      <c r="A3098" s="228"/>
      <c r="B3098" s="226"/>
      <c r="C3098" s="36"/>
      <c r="D3098" s="36"/>
      <c r="E3098" s="37"/>
      <c r="F3098" s="31" t="s">
        <v>572</v>
      </c>
      <c r="G3098" s="34" t="str">
        <f t="shared" si="54"/>
        <v/>
      </c>
      <c r="H3098" s="35"/>
      <c r="I3098" s="31"/>
      <c r="J3098" s="156">
        <v>0</v>
      </c>
    </row>
    <row r="3099" spans="1:10" ht="15.75" hidden="1" thickBot="1" x14ac:dyDescent="0.3">
      <c r="A3099" s="221" t="s">
        <v>981</v>
      </c>
      <c r="B3099" s="224" t="str">
        <f>INDEX(Orçamentária!A:B,MATCH(Composições!A3099,Orçamentária!A:A,0),2)</f>
        <v>Vidro fantasia 4mm (canelado, martelado, pontilhado e mini-boreal)</v>
      </c>
      <c r="C3099" s="41"/>
      <c r="D3099" s="26" t="str">
        <f>TRIM(INDEX(Orçamentária!C:C,MATCH(Composições!A3099,Orçamentária!A:A,0),1))</f>
        <v>m2</v>
      </c>
      <c r="E3099" s="27"/>
      <c r="F3099" s="42" t="s">
        <v>572</v>
      </c>
      <c r="G3099" s="28" t="str">
        <f t="shared" si="54"/>
        <v/>
      </c>
      <c r="H3099" s="29"/>
      <c r="I3099" s="30"/>
      <c r="J3099" s="156">
        <v>0</v>
      </c>
    </row>
    <row r="3100" spans="1:10" ht="15.75" hidden="1" thickBot="1" x14ac:dyDescent="0.3">
      <c r="A3100" s="222"/>
      <c r="B3100" s="225"/>
      <c r="C3100" s="32"/>
      <c r="D3100" s="32"/>
      <c r="E3100" s="33"/>
      <c r="F3100" s="43" t="s">
        <v>572</v>
      </c>
      <c r="G3100" s="34" t="str">
        <f t="shared" si="54"/>
        <v/>
      </c>
      <c r="H3100" s="35"/>
      <c r="I3100" s="31"/>
      <c r="J3100" s="156">
        <v>0</v>
      </c>
    </row>
    <row r="3101" spans="1:10" ht="15.75" hidden="1" thickBot="1" x14ac:dyDescent="0.3">
      <c r="A3101" s="222"/>
      <c r="B3101" s="225"/>
      <c r="C3101" s="36" t="s">
        <v>68</v>
      </c>
      <c r="D3101" s="36" t="s">
        <v>12</v>
      </c>
      <c r="E3101" s="37">
        <v>0.45</v>
      </c>
      <c r="F3101" s="34">
        <v>20.539000000000001</v>
      </c>
      <c r="G3101" s="34">
        <f t="shared" si="54"/>
        <v>9.2425500000000014</v>
      </c>
      <c r="H3101" s="39">
        <f>SUM(G3101:G3104)</f>
        <v>111.848725</v>
      </c>
      <c r="I3101" s="40"/>
      <c r="J3101" s="156">
        <v>0</v>
      </c>
    </row>
    <row r="3102" spans="1:10" ht="15.75" hidden="1" thickBot="1" x14ac:dyDescent="0.3">
      <c r="A3102" s="222"/>
      <c r="B3102" s="225"/>
      <c r="C3102" s="36" t="s">
        <v>23</v>
      </c>
      <c r="D3102" s="36" t="s">
        <v>12</v>
      </c>
      <c r="E3102" s="37">
        <v>0.45</v>
      </c>
      <c r="F3102" s="34">
        <v>16.311500000000002</v>
      </c>
      <c r="G3102" s="34">
        <f t="shared" si="54"/>
        <v>7.3401750000000012</v>
      </c>
      <c r="H3102" s="35"/>
      <c r="I3102" s="31"/>
      <c r="J3102" s="156">
        <v>0</v>
      </c>
    </row>
    <row r="3103" spans="1:10" ht="15.75" hidden="1" thickBot="1" x14ac:dyDescent="0.3">
      <c r="A3103" s="222"/>
      <c r="B3103" s="225"/>
      <c r="C3103" s="36" t="s">
        <v>309</v>
      </c>
      <c r="D3103" s="36" t="s">
        <v>852</v>
      </c>
      <c r="E3103" s="37">
        <v>1.5</v>
      </c>
      <c r="F3103" s="31">
        <v>6.5170000000000003</v>
      </c>
      <c r="G3103" s="34">
        <f t="shared" si="54"/>
        <v>9.775500000000001</v>
      </c>
      <c r="H3103" s="35"/>
      <c r="I3103" s="31"/>
      <c r="J3103" s="156">
        <v>0</v>
      </c>
    </row>
    <row r="3104" spans="1:10" ht="15.75" hidden="1" thickBot="1" x14ac:dyDescent="0.3">
      <c r="A3104" s="222"/>
      <c r="B3104" s="225"/>
      <c r="C3104" s="36" t="s">
        <v>982</v>
      </c>
      <c r="D3104" s="36" t="s">
        <v>96</v>
      </c>
      <c r="E3104" s="37">
        <v>1</v>
      </c>
      <c r="F3104" s="31">
        <v>85.490499999999997</v>
      </c>
      <c r="G3104" s="34">
        <f t="shared" si="54"/>
        <v>85.490499999999997</v>
      </c>
      <c r="H3104" s="35"/>
      <c r="I3104" s="31"/>
      <c r="J3104" s="156">
        <v>0</v>
      </c>
    </row>
    <row r="3105" spans="1:10" ht="15.75" hidden="1" thickBot="1" x14ac:dyDescent="0.3">
      <c r="A3105" s="223"/>
      <c r="B3105" s="226"/>
      <c r="C3105" s="36"/>
      <c r="D3105" s="36"/>
      <c r="E3105" s="37"/>
      <c r="F3105" s="31" t="s">
        <v>572</v>
      </c>
      <c r="G3105" s="34" t="str">
        <f t="shared" si="54"/>
        <v/>
      </c>
      <c r="H3105" s="35"/>
      <c r="I3105" s="31"/>
      <c r="J3105" s="156">
        <v>0</v>
      </c>
    </row>
    <row r="3106" spans="1:10" ht="15.75" hidden="1" thickBot="1" x14ac:dyDescent="0.3">
      <c r="A3106" s="221" t="s">
        <v>983</v>
      </c>
      <c r="B3106" s="224" t="str">
        <f>INDEX(Orçamentária!A:B,MATCH(Composições!A3106,Orçamentária!A:A,0),2)</f>
        <v>Vidro fumê/bronze 5mm</v>
      </c>
      <c r="C3106" s="41"/>
      <c r="D3106" s="26" t="str">
        <f>TRIM(INDEX(Orçamentária!C:C,MATCH(Composições!A3106,Orçamentária!A:A,0),1))</f>
        <v>m2</v>
      </c>
      <c r="E3106" s="27"/>
      <c r="F3106" s="42" t="s">
        <v>572</v>
      </c>
      <c r="G3106" s="28" t="str">
        <f t="shared" si="54"/>
        <v/>
      </c>
      <c r="H3106" s="29"/>
      <c r="I3106" s="30"/>
      <c r="J3106" s="156">
        <v>0</v>
      </c>
    </row>
    <row r="3107" spans="1:10" ht="15.75" hidden="1" thickBot="1" x14ac:dyDescent="0.3">
      <c r="A3107" s="222"/>
      <c r="B3107" s="225"/>
      <c r="C3107" s="32"/>
      <c r="D3107" s="32"/>
      <c r="E3107" s="33"/>
      <c r="F3107" s="43" t="s">
        <v>572</v>
      </c>
      <c r="G3107" s="34" t="str">
        <f t="shared" si="54"/>
        <v/>
      </c>
      <c r="H3107" s="35"/>
      <c r="I3107" s="31"/>
      <c r="J3107" s="156">
        <v>0</v>
      </c>
    </row>
    <row r="3108" spans="1:10" ht="15.75" hidden="1" thickBot="1" x14ac:dyDescent="0.3">
      <c r="A3108" s="222"/>
      <c r="B3108" s="225"/>
      <c r="C3108" s="36" t="s">
        <v>68</v>
      </c>
      <c r="D3108" s="36" t="s">
        <v>12</v>
      </c>
      <c r="E3108" s="37">
        <v>1</v>
      </c>
      <c r="F3108" s="34">
        <v>20.539000000000001</v>
      </c>
      <c r="G3108" s="34">
        <f t="shared" si="54"/>
        <v>20.539000000000001</v>
      </c>
      <c r="H3108" s="39">
        <f>SUM(G3108:G3111)</f>
        <v>184.49380000000002</v>
      </c>
      <c r="I3108" s="40"/>
      <c r="J3108" s="156">
        <v>0</v>
      </c>
    </row>
    <row r="3109" spans="1:10" ht="15.75" hidden="1" thickBot="1" x14ac:dyDescent="0.3">
      <c r="A3109" s="222"/>
      <c r="B3109" s="225"/>
      <c r="C3109" s="36" t="s">
        <v>23</v>
      </c>
      <c r="D3109" s="36" t="s">
        <v>12</v>
      </c>
      <c r="E3109" s="37">
        <v>0.2</v>
      </c>
      <c r="F3109" s="34">
        <v>16.311500000000002</v>
      </c>
      <c r="G3109" s="34">
        <f t="shared" si="54"/>
        <v>3.2623000000000006</v>
      </c>
      <c r="H3109" s="35"/>
      <c r="I3109" s="31"/>
      <c r="J3109" s="156">
        <v>0</v>
      </c>
    </row>
    <row r="3110" spans="1:10" ht="15.75" hidden="1" thickBot="1" x14ac:dyDescent="0.3">
      <c r="A3110" s="222"/>
      <c r="B3110" s="225"/>
      <c r="C3110" s="36" t="s">
        <v>309</v>
      </c>
      <c r="D3110" s="36" t="s">
        <v>852</v>
      </c>
      <c r="E3110" s="37">
        <v>2</v>
      </c>
      <c r="F3110" s="31">
        <v>6.5170000000000003</v>
      </c>
      <c r="G3110" s="34">
        <f t="shared" si="54"/>
        <v>13.034000000000001</v>
      </c>
      <c r="H3110" s="35"/>
      <c r="I3110" s="31"/>
      <c r="J3110" s="156">
        <v>0</v>
      </c>
    </row>
    <row r="3111" spans="1:10" ht="15.75" hidden="1" thickBot="1" x14ac:dyDescent="0.3">
      <c r="A3111" s="222"/>
      <c r="B3111" s="225"/>
      <c r="C3111" s="36" t="s">
        <v>984</v>
      </c>
      <c r="D3111" s="36" t="s">
        <v>96</v>
      </c>
      <c r="E3111" s="37">
        <v>1</v>
      </c>
      <c r="F3111" s="31">
        <v>147.6585</v>
      </c>
      <c r="G3111" s="34">
        <f t="shared" si="54"/>
        <v>147.6585</v>
      </c>
      <c r="H3111" s="35"/>
      <c r="I3111" s="31"/>
      <c r="J3111" s="156">
        <v>0</v>
      </c>
    </row>
    <row r="3112" spans="1:10" ht="15.75" hidden="1" thickBot="1" x14ac:dyDescent="0.3">
      <c r="A3112" s="223"/>
      <c r="B3112" s="226"/>
      <c r="C3112" s="36"/>
      <c r="D3112" s="36"/>
      <c r="E3112" s="37"/>
      <c r="F3112" s="31" t="s">
        <v>572</v>
      </c>
      <c r="G3112" s="34" t="str">
        <f t="shared" si="54"/>
        <v/>
      </c>
      <c r="H3112" s="35"/>
      <c r="I3112" s="31"/>
      <c r="J3112" s="156">
        <v>0</v>
      </c>
    </row>
    <row r="3113" spans="1:10" ht="15.75" hidden="1" thickBot="1" x14ac:dyDescent="0.3">
      <c r="A3113" s="221" t="s">
        <v>985</v>
      </c>
      <c r="B3113" s="224" t="str">
        <f>INDEX(Orçamentária!A:B,MATCH(Composições!A3113,Orçamentária!A:A,0),2)</f>
        <v>Recuperação de massa em esquadria metálica</v>
      </c>
      <c r="C3113" s="41"/>
      <c r="D3113" s="26" t="str">
        <f>TRIM(INDEX(Orçamentária!C:C,MATCH(Composições!A3113,Orçamentária!A:A,0),1))</f>
        <v>m</v>
      </c>
      <c r="E3113" s="27"/>
      <c r="F3113" s="42" t="s">
        <v>572</v>
      </c>
      <c r="G3113" s="28" t="str">
        <f t="shared" si="54"/>
        <v/>
      </c>
      <c r="H3113" s="29"/>
      <c r="I3113" s="30"/>
      <c r="J3113" s="156">
        <v>0</v>
      </c>
    </row>
    <row r="3114" spans="1:10" ht="15.75" hidden="1" thickBot="1" x14ac:dyDescent="0.3">
      <c r="A3114" s="222"/>
      <c r="B3114" s="225"/>
      <c r="C3114" s="32"/>
      <c r="D3114" s="32"/>
      <c r="E3114" s="33"/>
      <c r="F3114" s="43" t="s">
        <v>572</v>
      </c>
      <c r="G3114" s="34" t="str">
        <f t="shared" si="54"/>
        <v/>
      </c>
      <c r="H3114" s="35"/>
      <c r="I3114" s="31"/>
      <c r="J3114" s="156">
        <v>0</v>
      </c>
    </row>
    <row r="3115" spans="1:10" ht="15.75" hidden="1" thickBot="1" x14ac:dyDescent="0.3">
      <c r="A3115" s="222"/>
      <c r="B3115" s="225"/>
      <c r="C3115" s="36" t="s">
        <v>68</v>
      </c>
      <c r="D3115" s="50" t="s">
        <v>12</v>
      </c>
      <c r="E3115" s="37">
        <f>ROUND(1/3,4)</f>
        <v>0.33329999999999999</v>
      </c>
      <c r="F3115" s="34">
        <v>20.539000000000001</v>
      </c>
      <c r="G3115" s="34">
        <f t="shared" si="54"/>
        <v>6.8456486999999999</v>
      </c>
      <c r="H3115" s="39">
        <f>SUM(G3115:G3117)</f>
        <v>23.1419487</v>
      </c>
      <c r="I3115" s="40"/>
      <c r="J3115" s="156">
        <v>0</v>
      </c>
    </row>
    <row r="3116" spans="1:10" ht="15.75" hidden="1" thickBot="1" x14ac:dyDescent="0.3">
      <c r="A3116" s="222"/>
      <c r="B3116" s="225"/>
      <c r="C3116" s="36" t="s">
        <v>23</v>
      </c>
      <c r="D3116" s="36" t="s">
        <v>12</v>
      </c>
      <c r="E3116" s="37">
        <v>0.2</v>
      </c>
      <c r="F3116" s="34">
        <v>16.311500000000002</v>
      </c>
      <c r="G3116" s="34">
        <f t="shared" si="54"/>
        <v>3.2623000000000006</v>
      </c>
      <c r="H3116" s="35"/>
      <c r="I3116" s="31"/>
      <c r="J3116" s="156">
        <v>0</v>
      </c>
    </row>
    <row r="3117" spans="1:10" ht="15.75" hidden="1" thickBot="1" x14ac:dyDescent="0.3">
      <c r="A3117" s="222"/>
      <c r="B3117" s="225"/>
      <c r="C3117" s="36" t="s">
        <v>309</v>
      </c>
      <c r="D3117" s="36" t="s">
        <v>852</v>
      </c>
      <c r="E3117" s="37">
        <v>2</v>
      </c>
      <c r="F3117" s="31">
        <v>6.5170000000000003</v>
      </c>
      <c r="G3117" s="34">
        <f t="shared" si="54"/>
        <v>13.034000000000001</v>
      </c>
      <c r="H3117" s="35"/>
      <c r="I3117" s="31"/>
      <c r="J3117" s="156">
        <v>0</v>
      </c>
    </row>
    <row r="3118" spans="1:10" ht="15.75" hidden="1" thickBot="1" x14ac:dyDescent="0.3">
      <c r="A3118" s="223"/>
      <c r="B3118" s="226"/>
      <c r="C3118" s="36"/>
      <c r="D3118" s="36"/>
      <c r="E3118" s="37"/>
      <c r="F3118" s="31" t="s">
        <v>572</v>
      </c>
      <c r="G3118" s="34" t="str">
        <f t="shared" si="54"/>
        <v/>
      </c>
      <c r="H3118" s="35"/>
      <c r="I3118" s="31"/>
      <c r="J3118" s="156">
        <v>0</v>
      </c>
    </row>
    <row r="3119" spans="1:10" ht="15.75" hidden="1" thickBot="1" x14ac:dyDescent="0.3">
      <c r="A3119" s="221" t="s">
        <v>986</v>
      </c>
      <c r="B3119" s="224" t="str">
        <f>INDEX(Orçamentária!A:B,MATCH(Composições!A3119,Orçamentária!A:A,0),2)</f>
        <v>Instalação de espelho reaproveitado</v>
      </c>
      <c r="C3119" s="41"/>
      <c r="D3119" s="26" t="str">
        <f>TRIM(INDEX(Orçamentária!C:C,MATCH(Composições!A3119,Orçamentária!A:A,0),1))</f>
        <v>m2</v>
      </c>
      <c r="E3119" s="27"/>
      <c r="F3119" s="42" t="s">
        <v>572</v>
      </c>
      <c r="G3119" s="28" t="str">
        <f t="shared" si="54"/>
        <v/>
      </c>
      <c r="H3119" s="29"/>
      <c r="I3119" s="30"/>
      <c r="J3119" s="156">
        <v>0</v>
      </c>
    </row>
    <row r="3120" spans="1:10" ht="15.75" hidden="1" thickBot="1" x14ac:dyDescent="0.3">
      <c r="A3120" s="222"/>
      <c r="B3120" s="225"/>
      <c r="C3120" s="32"/>
      <c r="D3120" s="32"/>
      <c r="E3120" s="33"/>
      <c r="F3120" s="43" t="s">
        <v>572</v>
      </c>
      <c r="G3120" s="34" t="str">
        <f t="shared" si="54"/>
        <v/>
      </c>
      <c r="H3120" s="35"/>
      <c r="I3120" s="31"/>
      <c r="J3120" s="156">
        <v>0</v>
      </c>
    </row>
    <row r="3121" spans="1:10" ht="15.75" hidden="1" thickBot="1" x14ac:dyDescent="0.3">
      <c r="A3121" s="222"/>
      <c r="B3121" s="225"/>
      <c r="C3121" s="36" t="s">
        <v>23</v>
      </c>
      <c r="D3121" s="36" t="s">
        <v>12</v>
      </c>
      <c r="E3121" s="37">
        <v>0.4</v>
      </c>
      <c r="F3121" s="34">
        <v>16.311500000000002</v>
      </c>
      <c r="G3121" s="34">
        <f t="shared" si="54"/>
        <v>6.5246000000000013</v>
      </c>
      <c r="H3121" s="39">
        <f>SUM(G3121:G3123)</f>
        <v>64.778599999999997</v>
      </c>
      <c r="I3121" s="40"/>
      <c r="J3121" s="156">
        <v>0</v>
      </c>
    </row>
    <row r="3122" spans="1:10" ht="15.75" hidden="1" thickBot="1" x14ac:dyDescent="0.3">
      <c r="A3122" s="222"/>
      <c r="B3122" s="225"/>
      <c r="C3122" s="36" t="s">
        <v>68</v>
      </c>
      <c r="D3122" s="36" t="s">
        <v>12</v>
      </c>
      <c r="E3122" s="37">
        <v>2</v>
      </c>
      <c r="F3122" s="34">
        <v>20.539000000000001</v>
      </c>
      <c r="G3122" s="34">
        <f t="shared" si="54"/>
        <v>41.078000000000003</v>
      </c>
      <c r="H3122" s="35"/>
      <c r="I3122" s="31"/>
      <c r="J3122" s="156">
        <v>0</v>
      </c>
    </row>
    <row r="3123" spans="1:10" ht="26.25" hidden="1" thickBot="1" x14ac:dyDescent="0.3">
      <c r="A3123" s="222"/>
      <c r="B3123" s="225"/>
      <c r="C3123" s="36" t="s">
        <v>987</v>
      </c>
      <c r="D3123" s="36" t="s">
        <v>299</v>
      </c>
      <c r="E3123" s="37">
        <v>4</v>
      </c>
      <c r="F3123" s="31">
        <v>4.2939999999999996</v>
      </c>
      <c r="G3123" s="34">
        <f t="shared" si="54"/>
        <v>17.175999999999998</v>
      </c>
      <c r="H3123" s="35"/>
      <c r="I3123" s="31"/>
      <c r="J3123" s="156">
        <v>0</v>
      </c>
    </row>
    <row r="3124" spans="1:10" ht="15.75" hidden="1" thickBot="1" x14ac:dyDescent="0.3">
      <c r="A3124" s="223"/>
      <c r="B3124" s="226"/>
      <c r="C3124" s="36"/>
      <c r="D3124" s="36"/>
      <c r="E3124" s="37"/>
      <c r="F3124" s="31" t="s">
        <v>572</v>
      </c>
      <c r="G3124" s="34" t="str">
        <f t="shared" si="54"/>
        <v/>
      </c>
      <c r="H3124" s="35"/>
      <c r="I3124" s="31"/>
      <c r="J3124" s="156">
        <v>0</v>
      </c>
    </row>
    <row r="3125" spans="1:10" ht="15.75" hidden="1" thickBot="1" x14ac:dyDescent="0.3">
      <c r="A3125" s="221" t="s">
        <v>988</v>
      </c>
      <c r="B3125" s="224" t="str">
        <f>INDEX(Orçamentária!A:B,MATCH(Composições!A3125,Orçamentária!A:A,0),2)</f>
        <v>Espelho fumê/bronze 4mm lapidado</v>
      </c>
      <c r="C3125" s="41"/>
      <c r="D3125" s="26" t="str">
        <f>TRIM(INDEX(Orçamentária!C:C,MATCH(Composições!A3125,Orçamentária!A:A,0),1))</f>
        <v>m2</v>
      </c>
      <c r="E3125" s="27"/>
      <c r="F3125" s="42" t="s">
        <v>572</v>
      </c>
      <c r="G3125" s="28" t="str">
        <f t="shared" si="54"/>
        <v/>
      </c>
      <c r="H3125" s="29"/>
      <c r="I3125" s="30"/>
      <c r="J3125" s="156">
        <v>0</v>
      </c>
    </row>
    <row r="3126" spans="1:10" ht="15.75" hidden="1" thickBot="1" x14ac:dyDescent="0.3">
      <c r="A3126" s="222"/>
      <c r="B3126" s="225"/>
      <c r="C3126" s="32"/>
      <c r="D3126" s="32"/>
      <c r="E3126" s="33"/>
      <c r="F3126" s="43" t="s">
        <v>572</v>
      </c>
      <c r="G3126" s="34" t="str">
        <f t="shared" si="54"/>
        <v/>
      </c>
      <c r="H3126" s="35"/>
      <c r="I3126" s="31"/>
      <c r="J3126" s="156">
        <v>0</v>
      </c>
    </row>
    <row r="3127" spans="1:10" ht="26.25" hidden="1" thickBot="1" x14ac:dyDescent="0.3">
      <c r="A3127" s="222"/>
      <c r="B3127" s="225"/>
      <c r="C3127" s="36" t="s">
        <v>987</v>
      </c>
      <c r="D3127" s="47" t="s">
        <v>20</v>
      </c>
      <c r="E3127" s="37">
        <v>4</v>
      </c>
      <c r="F3127" s="34">
        <v>4.2939999999999996</v>
      </c>
      <c r="G3127" s="34">
        <f t="shared" si="54"/>
        <v>17.175999999999998</v>
      </c>
      <c r="H3127" s="39">
        <f>SUM(G3127:G3130)</f>
        <v>64.778600000000012</v>
      </c>
      <c r="I3127" s="40"/>
      <c r="J3127" s="156">
        <v>0</v>
      </c>
    </row>
    <row r="3128" spans="1:10" ht="15.75" hidden="1" thickBot="1" x14ac:dyDescent="0.3">
      <c r="A3128" s="222"/>
      <c r="B3128" s="225"/>
      <c r="C3128" s="36" t="s">
        <v>989</v>
      </c>
      <c r="D3128" s="47" t="s">
        <v>96</v>
      </c>
      <c r="E3128" s="37">
        <v>1</v>
      </c>
      <c r="F3128" s="34" t="s">
        <v>572</v>
      </c>
      <c r="G3128" s="34" t="str">
        <f t="shared" si="54"/>
        <v/>
      </c>
      <c r="H3128" s="35"/>
      <c r="I3128" s="31"/>
      <c r="J3128" s="156">
        <v>0</v>
      </c>
    </row>
    <row r="3129" spans="1:10" ht="15.75" hidden="1" thickBot="1" x14ac:dyDescent="0.3">
      <c r="A3129" s="222"/>
      <c r="B3129" s="225"/>
      <c r="C3129" s="36" t="s">
        <v>23</v>
      </c>
      <c r="D3129" s="47" t="s">
        <v>12</v>
      </c>
      <c r="E3129" s="37">
        <v>0.4</v>
      </c>
      <c r="F3129" s="31">
        <v>16.311500000000002</v>
      </c>
      <c r="G3129" s="34">
        <f t="shared" si="54"/>
        <v>6.5246000000000013</v>
      </c>
      <c r="H3129" s="35"/>
      <c r="I3129" s="31"/>
      <c r="J3129" s="156">
        <v>0</v>
      </c>
    </row>
    <row r="3130" spans="1:10" ht="15.75" hidden="1" thickBot="1" x14ac:dyDescent="0.3">
      <c r="A3130" s="222"/>
      <c r="B3130" s="225"/>
      <c r="C3130" s="36" t="s">
        <v>68</v>
      </c>
      <c r="D3130" s="47" t="s">
        <v>12</v>
      </c>
      <c r="E3130" s="37">
        <v>2</v>
      </c>
      <c r="F3130" s="31">
        <v>20.539000000000001</v>
      </c>
      <c r="G3130" s="34">
        <f t="shared" si="54"/>
        <v>41.078000000000003</v>
      </c>
      <c r="H3130" s="35"/>
      <c r="I3130" s="31"/>
      <c r="J3130" s="156">
        <v>0</v>
      </c>
    </row>
    <row r="3131" spans="1:10" ht="15.75" hidden="1" thickBot="1" x14ac:dyDescent="0.3">
      <c r="A3131" s="223"/>
      <c r="B3131" s="226"/>
      <c r="C3131" s="36"/>
      <c r="D3131" s="36"/>
      <c r="E3131" s="37"/>
      <c r="F3131" s="31" t="s">
        <v>572</v>
      </c>
      <c r="G3131" s="34" t="str">
        <f t="shared" si="54"/>
        <v/>
      </c>
      <c r="H3131" s="35"/>
      <c r="I3131" s="31"/>
      <c r="J3131" s="156">
        <v>0</v>
      </c>
    </row>
    <row r="3132" spans="1:10" ht="15.75" hidden="1" thickBot="1" x14ac:dyDescent="0.3">
      <c r="A3132" s="221" t="s">
        <v>990</v>
      </c>
      <c r="B3132" s="224" t="str">
        <f>INDEX(Orçamentária!A:B,MATCH(Composições!A3132,Orçamentária!A:A,0),2)</f>
        <v>Finesson (parafuso de fixação francês)</v>
      </c>
      <c r="C3132" s="41"/>
      <c r="D3132" s="26" t="str">
        <f>TRIM(INDEX(Orçamentária!C:C,MATCH(Composições!A3132,Orçamentária!A:A,0),1))</f>
        <v>un</v>
      </c>
      <c r="E3132" s="27"/>
      <c r="F3132" s="42" t="s">
        <v>572</v>
      </c>
      <c r="G3132" s="28" t="str">
        <f t="shared" si="54"/>
        <v/>
      </c>
      <c r="H3132" s="29"/>
      <c r="I3132" s="30"/>
      <c r="J3132" s="156">
        <v>0</v>
      </c>
    </row>
    <row r="3133" spans="1:10" ht="15.75" hidden="1" thickBot="1" x14ac:dyDescent="0.3">
      <c r="A3133" s="222"/>
      <c r="B3133" s="225"/>
      <c r="C3133" s="32"/>
      <c r="D3133" s="32"/>
      <c r="E3133" s="33"/>
      <c r="F3133" s="43" t="s">
        <v>572</v>
      </c>
      <c r="G3133" s="34" t="str">
        <f t="shared" si="54"/>
        <v/>
      </c>
      <c r="H3133" s="35"/>
      <c r="I3133" s="31"/>
      <c r="J3133" s="156">
        <v>0</v>
      </c>
    </row>
    <row r="3134" spans="1:10" ht="15.75" hidden="1" thickBot="1" x14ac:dyDescent="0.3">
      <c r="A3134" s="222"/>
      <c r="B3134" s="225"/>
      <c r="C3134" s="36" t="s">
        <v>68</v>
      </c>
      <c r="D3134" s="36" t="s">
        <v>12</v>
      </c>
      <c r="E3134" s="37">
        <v>0.1</v>
      </c>
      <c r="F3134" s="34">
        <v>20.539000000000001</v>
      </c>
      <c r="G3134" s="34">
        <f t="shared" si="54"/>
        <v>2.0539000000000001</v>
      </c>
      <c r="H3134" s="39">
        <f>SUM(G3134:G3135)</f>
        <v>6.3478999999999992</v>
      </c>
      <c r="I3134" s="40"/>
      <c r="J3134" s="156">
        <v>0</v>
      </c>
    </row>
    <row r="3135" spans="1:10" ht="26.25" hidden="1" thickBot="1" x14ac:dyDescent="0.3">
      <c r="A3135" s="222"/>
      <c r="B3135" s="225"/>
      <c r="C3135" s="36" t="s">
        <v>987</v>
      </c>
      <c r="D3135" s="36" t="s">
        <v>20</v>
      </c>
      <c r="E3135" s="37">
        <v>1</v>
      </c>
      <c r="F3135" s="31">
        <v>4.2939999999999996</v>
      </c>
      <c r="G3135" s="34">
        <f t="shared" si="54"/>
        <v>4.2939999999999996</v>
      </c>
      <c r="H3135" s="35"/>
      <c r="I3135" s="31"/>
      <c r="J3135" s="156">
        <v>0</v>
      </c>
    </row>
    <row r="3136" spans="1:10" ht="15.75" hidden="1" thickBot="1" x14ac:dyDescent="0.3">
      <c r="A3136" s="223"/>
      <c r="B3136" s="226"/>
      <c r="C3136" s="36"/>
      <c r="D3136" s="36"/>
      <c r="E3136" s="37"/>
      <c r="F3136" s="31" t="s">
        <v>572</v>
      </c>
      <c r="G3136" s="34" t="str">
        <f t="shared" si="54"/>
        <v/>
      </c>
      <c r="H3136" s="35"/>
      <c r="I3136" s="31"/>
      <c r="J3136" s="156">
        <v>0</v>
      </c>
    </row>
    <row r="3137" spans="1:10" ht="15.75" hidden="1" thickBot="1" x14ac:dyDescent="0.3">
      <c r="A3137" s="221" t="s">
        <v>991</v>
      </c>
      <c r="B3137" s="224" t="str">
        <f>INDEX(Orçamentária!A:B,MATCH(Composições!A3137,Orçamentária!A:A,0),2)</f>
        <v>Graute industrializado, fck ≥ 25MPa</v>
      </c>
      <c r="C3137" s="41"/>
      <c r="D3137" s="26" t="str">
        <f>TRIM(INDEX(Orçamentária!C:C,MATCH(Composições!A3137,Orçamentária!A:A,0),1))</f>
        <v>m3</v>
      </c>
      <c r="E3137" s="27"/>
      <c r="F3137" s="42" t="s">
        <v>572</v>
      </c>
      <c r="G3137" s="28" t="str">
        <f t="shared" si="54"/>
        <v/>
      </c>
      <c r="H3137" s="29"/>
      <c r="I3137" s="30"/>
      <c r="J3137" s="156">
        <v>0</v>
      </c>
    </row>
    <row r="3138" spans="1:10" ht="15.75" hidden="1" thickBot="1" x14ac:dyDescent="0.3">
      <c r="A3138" s="222"/>
      <c r="B3138" s="225"/>
      <c r="C3138" s="32"/>
      <c r="D3138" s="32"/>
      <c r="E3138" s="33"/>
      <c r="F3138" s="43" t="s">
        <v>572</v>
      </c>
      <c r="G3138" s="34" t="str">
        <f t="shared" si="54"/>
        <v/>
      </c>
      <c r="H3138" s="35"/>
      <c r="I3138" s="31"/>
      <c r="J3138" s="156">
        <v>0</v>
      </c>
    </row>
    <row r="3139" spans="1:10" ht="15.75" hidden="1" thickBot="1" x14ac:dyDescent="0.3">
      <c r="A3139" s="222"/>
      <c r="B3139" s="225"/>
      <c r="C3139" s="36" t="s">
        <v>768</v>
      </c>
      <c r="D3139" s="47" t="s">
        <v>759</v>
      </c>
      <c r="E3139" s="37">
        <v>4.7313999999999998</v>
      </c>
      <c r="F3139" s="31">
        <v>22.087499999999999</v>
      </c>
      <c r="G3139" s="34">
        <f t="shared" si="54"/>
        <v>104.5047975</v>
      </c>
      <c r="H3139" s="39">
        <f>SUM(G3139:G3141)</f>
        <v>2741.9053634000002</v>
      </c>
      <c r="I3139" s="40"/>
      <c r="J3139" s="156">
        <v>0</v>
      </c>
    </row>
    <row r="3140" spans="1:10" ht="15.75" hidden="1" thickBot="1" x14ac:dyDescent="0.3">
      <c r="A3140" s="222"/>
      <c r="B3140" s="225"/>
      <c r="C3140" s="36" t="s">
        <v>760</v>
      </c>
      <c r="D3140" s="47" t="s">
        <v>759</v>
      </c>
      <c r="E3140" s="37">
        <v>3.3466</v>
      </c>
      <c r="F3140" s="31">
        <v>16.311500000000002</v>
      </c>
      <c r="G3140" s="34">
        <f t="shared" si="54"/>
        <v>54.588065900000011</v>
      </c>
      <c r="H3140" s="35"/>
      <c r="I3140" s="31"/>
      <c r="J3140" s="156">
        <v>0</v>
      </c>
    </row>
    <row r="3141" spans="1:10" ht="15.75" hidden="1" thickBot="1" x14ac:dyDescent="0.3">
      <c r="A3141" s="222"/>
      <c r="B3141" s="225"/>
      <c r="C3141" s="36" t="s">
        <v>992</v>
      </c>
      <c r="D3141" s="47" t="s">
        <v>957</v>
      </c>
      <c r="E3141" s="37">
        <v>1875</v>
      </c>
      <c r="F3141" s="31">
        <v>1.3774999999999999</v>
      </c>
      <c r="G3141" s="34">
        <f t="shared" si="54"/>
        <v>2582.8125</v>
      </c>
      <c r="H3141" s="35"/>
      <c r="I3141" s="31"/>
      <c r="J3141" s="156">
        <v>0</v>
      </c>
    </row>
    <row r="3142" spans="1:10" ht="15.75" hidden="1" thickBot="1" x14ac:dyDescent="0.3">
      <c r="A3142" s="223"/>
      <c r="B3142" s="226"/>
      <c r="C3142" s="36"/>
      <c r="D3142" s="36"/>
      <c r="E3142" s="37"/>
      <c r="F3142" s="31" t="s">
        <v>572</v>
      </c>
      <c r="G3142" s="34" t="str">
        <f t="shared" si="54"/>
        <v/>
      </c>
      <c r="H3142" s="35"/>
      <c r="I3142" s="31"/>
      <c r="J3142" s="156">
        <v>0</v>
      </c>
    </row>
    <row r="3143" spans="1:10" ht="15.75" hidden="1" thickBot="1" x14ac:dyDescent="0.3">
      <c r="A3143" s="221" t="s">
        <v>993</v>
      </c>
      <c r="B3143" s="224" t="str">
        <f>INDEX(Orçamentária!A:B,MATCH(Composições!A3143,Orçamentária!A:A,0),2)</f>
        <v>Armação de aço CA-50 bitolas de 10,0mm a 12,50mm</v>
      </c>
      <c r="C3143" s="41"/>
      <c r="D3143" s="26" t="str">
        <f>TRIM(INDEX(Orçamentária!C:C,MATCH(Composições!A3143,Orçamentária!A:A,0),1))</f>
        <v>kg</v>
      </c>
      <c r="E3143" s="27"/>
      <c r="F3143" s="42" t="s">
        <v>572</v>
      </c>
      <c r="G3143" s="28" t="str">
        <f t="shared" si="54"/>
        <v/>
      </c>
      <c r="H3143" s="29"/>
      <c r="I3143" s="30"/>
      <c r="J3143" s="156">
        <v>0</v>
      </c>
    </row>
    <row r="3144" spans="1:10" ht="15.75" hidden="1" thickBot="1" x14ac:dyDescent="0.3">
      <c r="A3144" s="222"/>
      <c r="B3144" s="225"/>
      <c r="C3144" s="32"/>
      <c r="D3144" s="32"/>
      <c r="E3144" s="33"/>
      <c r="F3144" s="43" t="s">
        <v>572</v>
      </c>
      <c r="G3144" s="34" t="str">
        <f t="shared" si="54"/>
        <v/>
      </c>
      <c r="H3144" s="35"/>
      <c r="I3144" s="31"/>
      <c r="J3144" s="156">
        <v>0</v>
      </c>
    </row>
    <row r="3145" spans="1:10" ht="26.25" hidden="1" thickBot="1" x14ac:dyDescent="0.3">
      <c r="A3145" s="222"/>
      <c r="B3145" s="225"/>
      <c r="C3145" s="36" t="s">
        <v>3606</v>
      </c>
      <c r="D3145" s="47" t="s">
        <v>957</v>
      </c>
      <c r="E3145" s="37">
        <v>2.5000000000000001E-2</v>
      </c>
      <c r="F3145" s="31">
        <v>18.838499999999996</v>
      </c>
      <c r="G3145" s="34">
        <f t="shared" si="54"/>
        <v>0.47096249999999995</v>
      </c>
      <c r="H3145" s="39">
        <f>SUM(G3145:G3149)</f>
        <v>11.1327137</v>
      </c>
      <c r="I3145" s="40"/>
      <c r="J3145" s="156">
        <v>0</v>
      </c>
    </row>
    <row r="3146" spans="1:10" ht="39" hidden="1" thickBot="1" x14ac:dyDescent="0.3">
      <c r="A3146" s="222"/>
      <c r="B3146" s="225"/>
      <c r="C3146" s="36" t="s">
        <v>958</v>
      </c>
      <c r="D3146" s="47" t="s">
        <v>299</v>
      </c>
      <c r="E3146" s="37">
        <v>0.36699999999999999</v>
      </c>
      <c r="F3146" s="31">
        <v>0.17099999999999999</v>
      </c>
      <c r="G3146" s="34">
        <f t="shared" si="54"/>
        <v>6.2756999999999993E-2</v>
      </c>
      <c r="H3146" s="35"/>
      <c r="I3146" s="31"/>
      <c r="J3146" s="156">
        <v>0</v>
      </c>
    </row>
    <row r="3147" spans="1:10" ht="15.75" hidden="1" thickBot="1" x14ac:dyDescent="0.3">
      <c r="A3147" s="222"/>
      <c r="B3147" s="225"/>
      <c r="C3147" s="36" t="s">
        <v>959</v>
      </c>
      <c r="D3147" s="47" t="s">
        <v>759</v>
      </c>
      <c r="E3147" s="37">
        <v>1.14E-2</v>
      </c>
      <c r="F3147" s="31">
        <v>17.081</v>
      </c>
      <c r="G3147" s="34">
        <f t="shared" si="54"/>
        <v>0.19472339999999999</v>
      </c>
      <c r="H3147" s="35"/>
      <c r="I3147" s="31"/>
      <c r="J3147" s="156">
        <v>0</v>
      </c>
    </row>
    <row r="3148" spans="1:10" ht="15.75" hidden="1" thickBot="1" x14ac:dyDescent="0.3">
      <c r="A3148" s="222"/>
      <c r="B3148" s="225"/>
      <c r="C3148" s="36" t="s">
        <v>960</v>
      </c>
      <c r="D3148" s="47" t="s">
        <v>759</v>
      </c>
      <c r="E3148" s="37">
        <v>6.9800000000000001E-2</v>
      </c>
      <c r="F3148" s="31">
        <v>21.973499999999998</v>
      </c>
      <c r="G3148" s="34">
        <f t="shared" si="54"/>
        <v>1.5337502999999999</v>
      </c>
      <c r="H3148" s="35"/>
      <c r="I3148" s="31"/>
      <c r="J3148" s="156">
        <v>0</v>
      </c>
    </row>
    <row r="3149" spans="1:10" ht="26.25" hidden="1" thickBot="1" x14ac:dyDescent="0.3">
      <c r="A3149" s="222"/>
      <c r="B3149" s="225"/>
      <c r="C3149" s="36" t="s">
        <v>994</v>
      </c>
      <c r="D3149" s="47" t="s">
        <v>957</v>
      </c>
      <c r="E3149" s="37">
        <v>1</v>
      </c>
      <c r="F3149" s="31">
        <v>8.8705205000000014</v>
      </c>
      <c r="G3149" s="34">
        <f t="shared" si="54"/>
        <v>8.8705205000000014</v>
      </c>
      <c r="H3149" s="35"/>
      <c r="I3149" s="31"/>
      <c r="J3149" s="156">
        <v>0</v>
      </c>
    </row>
    <row r="3150" spans="1:10" ht="15.75" hidden="1" thickBot="1" x14ac:dyDescent="0.3">
      <c r="A3150" s="223"/>
      <c r="B3150" s="226"/>
      <c r="C3150" s="36"/>
      <c r="D3150" s="36"/>
      <c r="E3150" s="37"/>
      <c r="F3150" s="31" t="s">
        <v>572</v>
      </c>
      <c r="G3150" s="34" t="str">
        <f t="shared" si="54"/>
        <v/>
      </c>
      <c r="H3150" s="35"/>
      <c r="I3150" s="31"/>
      <c r="J3150" s="156">
        <v>0</v>
      </c>
    </row>
    <row r="3151" spans="1:10" ht="15.75" hidden="1" thickBot="1" x14ac:dyDescent="0.3">
      <c r="A3151" s="221" t="s">
        <v>995</v>
      </c>
      <c r="B3151" s="224" t="str">
        <f>INDEX(Orçamentária!A:B,MATCH(Composições!A3151,Orçamentária!A:A,0),2)</f>
        <v>Armação de aço CA-50 bitolas de 16,0mm a 25,0mm</v>
      </c>
      <c r="C3151" s="41"/>
      <c r="D3151" s="26" t="str">
        <f>TRIM(INDEX(Orçamentária!C:C,MATCH(Composições!A3151,Orçamentária!A:A,0),1))</f>
        <v>kg</v>
      </c>
      <c r="E3151" s="27"/>
      <c r="F3151" s="42" t="s">
        <v>572</v>
      </c>
      <c r="G3151" s="28" t="str">
        <f t="shared" si="54"/>
        <v/>
      </c>
      <c r="H3151" s="29"/>
      <c r="I3151" s="30"/>
      <c r="J3151" s="156">
        <v>0</v>
      </c>
    </row>
    <row r="3152" spans="1:10" ht="15.75" hidden="1" thickBot="1" x14ac:dyDescent="0.3">
      <c r="A3152" s="222"/>
      <c r="B3152" s="225"/>
      <c r="C3152" s="32"/>
      <c r="D3152" s="32"/>
      <c r="E3152" s="33"/>
      <c r="F3152" s="43" t="s">
        <v>572</v>
      </c>
      <c r="G3152" s="34" t="str">
        <f t="shared" si="54"/>
        <v/>
      </c>
      <c r="H3152" s="35"/>
      <c r="I3152" s="31"/>
      <c r="J3152" s="156">
        <v>0</v>
      </c>
    </row>
    <row r="3153" spans="1:10" ht="26.25" hidden="1" thickBot="1" x14ac:dyDescent="0.3">
      <c r="A3153" s="222"/>
      <c r="B3153" s="225"/>
      <c r="C3153" s="36" t="s">
        <v>3606</v>
      </c>
      <c r="D3153" s="47" t="s">
        <v>957</v>
      </c>
      <c r="E3153" s="37">
        <v>2.5000000000000001E-2</v>
      </c>
      <c r="F3153" s="31">
        <v>18.838499999999996</v>
      </c>
      <c r="G3153" s="34">
        <f t="shared" si="54"/>
        <v>0.47096249999999995</v>
      </c>
      <c r="H3153" s="39">
        <f>SUM(G3153:G3157)</f>
        <v>11.606248799999999</v>
      </c>
      <c r="I3153" s="40"/>
      <c r="J3153" s="156">
        <v>0</v>
      </c>
    </row>
    <row r="3154" spans="1:10" ht="39" hidden="1" thickBot="1" x14ac:dyDescent="0.3">
      <c r="A3154" s="222"/>
      <c r="B3154" s="225"/>
      <c r="C3154" s="36" t="s">
        <v>958</v>
      </c>
      <c r="D3154" s="47" t="s">
        <v>299</v>
      </c>
      <c r="E3154" s="37">
        <v>0.113</v>
      </c>
      <c r="F3154" s="31">
        <v>0.17099999999999999</v>
      </c>
      <c r="G3154" s="34">
        <f t="shared" ref="G3154:G3217" si="55">IF(ISNUMBER(F3154),E3154*F3154,"")</f>
        <v>1.9323E-2</v>
      </c>
      <c r="H3154" s="35"/>
      <c r="I3154" s="31"/>
      <c r="J3154" s="156">
        <v>0</v>
      </c>
    </row>
    <row r="3155" spans="1:10" ht="15.75" hidden="1" thickBot="1" x14ac:dyDescent="0.3">
      <c r="A3155" s="222"/>
      <c r="B3155" s="225"/>
      <c r="C3155" s="36" t="s">
        <v>959</v>
      </c>
      <c r="D3155" s="47" t="s">
        <v>759</v>
      </c>
      <c r="E3155" s="37">
        <v>5.1000000000000004E-3</v>
      </c>
      <c r="F3155" s="31">
        <v>17.081</v>
      </c>
      <c r="G3155" s="34">
        <f t="shared" si="55"/>
        <v>8.7113099999999999E-2</v>
      </c>
      <c r="H3155" s="35"/>
      <c r="I3155" s="31"/>
      <c r="J3155" s="156">
        <v>0</v>
      </c>
    </row>
    <row r="3156" spans="1:10" ht="15.75" hidden="1" thickBot="1" x14ac:dyDescent="0.3">
      <c r="A3156" s="222"/>
      <c r="B3156" s="225"/>
      <c r="C3156" s="36" t="s">
        <v>960</v>
      </c>
      <c r="D3156" s="47" t="s">
        <v>759</v>
      </c>
      <c r="E3156" s="37">
        <v>3.1199999999999999E-2</v>
      </c>
      <c r="F3156" s="31">
        <v>21.973499999999998</v>
      </c>
      <c r="G3156" s="34">
        <f t="shared" si="55"/>
        <v>0.68557319999999988</v>
      </c>
      <c r="H3156" s="35"/>
      <c r="I3156" s="31"/>
      <c r="J3156" s="156">
        <v>0</v>
      </c>
    </row>
    <row r="3157" spans="1:10" ht="26.25" hidden="1" thickBot="1" x14ac:dyDescent="0.3">
      <c r="A3157" s="222"/>
      <c r="B3157" s="225"/>
      <c r="C3157" s="36" t="s">
        <v>996</v>
      </c>
      <c r="D3157" s="47" t="s">
        <v>957</v>
      </c>
      <c r="E3157" s="37">
        <v>1</v>
      </c>
      <c r="F3157" s="31">
        <v>10.343276999999999</v>
      </c>
      <c r="G3157" s="34">
        <f t="shared" si="55"/>
        <v>10.343276999999999</v>
      </c>
      <c r="H3157" s="35"/>
      <c r="I3157" s="31"/>
      <c r="J3157" s="156">
        <v>0</v>
      </c>
    </row>
    <row r="3158" spans="1:10" ht="15.75" hidden="1" thickBot="1" x14ac:dyDescent="0.3">
      <c r="A3158" s="223"/>
      <c r="B3158" s="226"/>
      <c r="C3158" s="36"/>
      <c r="D3158" s="36"/>
      <c r="E3158" s="37"/>
      <c r="F3158" s="31" t="s">
        <v>572</v>
      </c>
      <c r="G3158" s="34" t="str">
        <f t="shared" si="55"/>
        <v/>
      </c>
      <c r="H3158" s="35"/>
      <c r="I3158" s="31"/>
      <c r="J3158" s="156">
        <v>0</v>
      </c>
    </row>
    <row r="3159" spans="1:10" ht="15.75" hidden="1" thickBot="1" x14ac:dyDescent="0.3">
      <c r="A3159" s="221" t="s">
        <v>997</v>
      </c>
      <c r="B3159" s="224" t="str">
        <f>INDEX(Orçamentária!A:B,MATCH(Composições!A3159,Orçamentária!A:A,0),2)</f>
        <v>Remoção de mola hidráulica de piso</v>
      </c>
      <c r="C3159" s="41"/>
      <c r="D3159" s="26" t="str">
        <f>TRIM(INDEX(Orçamentária!C:C,MATCH(Composições!A3159,Orçamentária!A:A,0),1))</f>
        <v>un</v>
      </c>
      <c r="E3159" s="27"/>
      <c r="F3159" s="42" t="s">
        <v>572</v>
      </c>
      <c r="G3159" s="28" t="str">
        <f t="shared" si="55"/>
        <v/>
      </c>
      <c r="H3159" s="29"/>
      <c r="I3159" s="30"/>
      <c r="J3159" s="156">
        <v>0</v>
      </c>
    </row>
    <row r="3160" spans="1:10" ht="15.75" hidden="1" thickBot="1" x14ac:dyDescent="0.3">
      <c r="A3160" s="222"/>
      <c r="B3160" s="225"/>
      <c r="C3160" s="152"/>
      <c r="D3160" s="32"/>
      <c r="E3160" s="33"/>
      <c r="F3160" s="43" t="s">
        <v>572</v>
      </c>
      <c r="G3160" s="34" t="str">
        <f t="shared" si="55"/>
        <v/>
      </c>
      <c r="H3160" s="35"/>
      <c r="I3160" s="31"/>
      <c r="J3160" s="156">
        <v>0</v>
      </c>
    </row>
    <row r="3161" spans="1:10" ht="15.75" hidden="1" thickBot="1" x14ac:dyDescent="0.3">
      <c r="A3161" s="222"/>
      <c r="B3161" s="225"/>
      <c r="C3161" s="36" t="s">
        <v>23</v>
      </c>
      <c r="D3161" s="47" t="s">
        <v>12</v>
      </c>
      <c r="E3161" s="37">
        <v>0.55000000000000004</v>
      </c>
      <c r="F3161" s="31">
        <v>16.311500000000002</v>
      </c>
      <c r="G3161" s="34">
        <f t="shared" si="55"/>
        <v>8.971325000000002</v>
      </c>
      <c r="H3161" s="39">
        <f>SUM(G3161:G3162)</f>
        <v>20.267775000000004</v>
      </c>
      <c r="I3161" s="40"/>
      <c r="J3161" s="156">
        <v>0</v>
      </c>
    </row>
    <row r="3162" spans="1:10" ht="15.75" hidden="1" thickBot="1" x14ac:dyDescent="0.3">
      <c r="A3162" s="222"/>
      <c r="B3162" s="225"/>
      <c r="C3162" s="36" t="s">
        <v>68</v>
      </c>
      <c r="D3162" s="47" t="s">
        <v>12</v>
      </c>
      <c r="E3162" s="37">
        <v>0.55000000000000004</v>
      </c>
      <c r="F3162" s="31">
        <v>20.539000000000001</v>
      </c>
      <c r="G3162" s="34">
        <f t="shared" si="55"/>
        <v>11.296450000000002</v>
      </c>
      <c r="H3162" s="35"/>
      <c r="I3162" s="31"/>
      <c r="J3162" s="156">
        <v>0</v>
      </c>
    </row>
    <row r="3163" spans="1:10" ht="15.75" hidden="1" thickBot="1" x14ac:dyDescent="0.3">
      <c r="A3163" s="223"/>
      <c r="B3163" s="226"/>
      <c r="C3163" s="36"/>
      <c r="D3163" s="36"/>
      <c r="E3163" s="37"/>
      <c r="F3163" s="31" t="s">
        <v>572</v>
      </c>
      <c r="G3163" s="34" t="str">
        <f t="shared" si="55"/>
        <v/>
      </c>
      <c r="H3163" s="35"/>
      <c r="I3163" s="31"/>
      <c r="J3163" s="156">
        <v>0</v>
      </c>
    </row>
    <row r="3164" spans="1:10" ht="15.75" hidden="1" thickBot="1" x14ac:dyDescent="0.3">
      <c r="A3164" s="221" t="s">
        <v>998</v>
      </c>
      <c r="B3164" s="224" t="str">
        <f>INDEX(Orçamentária!A:B,MATCH(Composições!A3164,Orçamentária!A:A,0),2)</f>
        <v>Escavação manual de valas</v>
      </c>
      <c r="C3164" s="41"/>
      <c r="D3164" s="26" t="str">
        <f>TRIM(INDEX(Orçamentária!C:C,MATCH(Composições!A3164,Orçamentária!A:A,0),1))</f>
        <v>m3</v>
      </c>
      <c r="E3164" s="27"/>
      <c r="F3164" s="42" t="s">
        <v>572</v>
      </c>
      <c r="G3164" s="28" t="str">
        <f t="shared" si="55"/>
        <v/>
      </c>
      <c r="H3164" s="29"/>
      <c r="I3164" s="30"/>
      <c r="J3164" s="156">
        <v>0</v>
      </c>
    </row>
    <row r="3165" spans="1:10" ht="15.75" hidden="1" thickBot="1" x14ac:dyDescent="0.3">
      <c r="A3165" s="222"/>
      <c r="B3165" s="225"/>
      <c r="C3165" s="32"/>
      <c r="D3165" s="32"/>
      <c r="E3165" s="33"/>
      <c r="F3165" s="43" t="s">
        <v>572</v>
      </c>
      <c r="G3165" s="34" t="str">
        <f t="shared" si="55"/>
        <v/>
      </c>
      <c r="H3165" s="35"/>
      <c r="I3165" s="31"/>
      <c r="J3165" s="156">
        <v>0</v>
      </c>
    </row>
    <row r="3166" spans="1:10" ht="15.75" hidden="1" thickBot="1" x14ac:dyDescent="0.3">
      <c r="A3166" s="222"/>
      <c r="B3166" s="225"/>
      <c r="C3166" s="36" t="s">
        <v>23</v>
      </c>
      <c r="D3166" s="47" t="s">
        <v>12</v>
      </c>
      <c r="E3166" s="37">
        <v>3.956</v>
      </c>
      <c r="F3166" s="31">
        <v>16.311500000000002</v>
      </c>
      <c r="G3166" s="34">
        <f t="shared" si="55"/>
        <v>64.528294000000002</v>
      </c>
      <c r="H3166" s="39">
        <f>SUM(G3166:G3166)</f>
        <v>64.528294000000002</v>
      </c>
      <c r="I3166" s="40"/>
      <c r="J3166" s="156">
        <v>0</v>
      </c>
    </row>
    <row r="3167" spans="1:10" ht="15.75" hidden="1" thickBot="1" x14ac:dyDescent="0.3">
      <c r="A3167" s="223"/>
      <c r="B3167" s="226"/>
      <c r="C3167" s="36"/>
      <c r="D3167" s="36"/>
      <c r="E3167" s="37"/>
      <c r="F3167" s="31" t="s">
        <v>572</v>
      </c>
      <c r="G3167" s="34" t="str">
        <f t="shared" si="55"/>
        <v/>
      </c>
      <c r="H3167" s="35"/>
      <c r="I3167" s="31"/>
      <c r="J3167" s="156">
        <v>0</v>
      </c>
    </row>
    <row r="3168" spans="1:10" ht="15.75" hidden="1" thickBot="1" x14ac:dyDescent="0.3">
      <c r="A3168" s="221" t="s">
        <v>999</v>
      </c>
      <c r="B3168" s="224" t="str">
        <f>INDEX(Orçamentária!A:B,MATCH(Composições!A3168,Orçamentária!A:A,0),2)</f>
        <v>Reaterro de vala com compactação mecanizada</v>
      </c>
      <c r="C3168" s="41"/>
      <c r="D3168" s="26" t="str">
        <f>TRIM(INDEX(Orçamentária!C:C,MATCH(Composições!A3168,Orçamentária!A:A,0),1))</f>
        <v>m3</v>
      </c>
      <c r="E3168" s="27"/>
      <c r="F3168" s="42" t="s">
        <v>572</v>
      </c>
      <c r="G3168" s="28" t="str">
        <f t="shared" si="55"/>
        <v/>
      </c>
      <c r="H3168" s="29"/>
      <c r="I3168" s="30"/>
      <c r="J3168" s="156">
        <v>0</v>
      </c>
    </row>
    <row r="3169" spans="1:10" ht="15.75" hidden="1" thickBot="1" x14ac:dyDescent="0.3">
      <c r="A3169" s="222"/>
      <c r="B3169" s="225"/>
      <c r="C3169" s="32"/>
      <c r="D3169" s="32"/>
      <c r="E3169" s="33"/>
      <c r="F3169" s="43" t="s">
        <v>572</v>
      </c>
      <c r="G3169" s="34" t="str">
        <f t="shared" si="55"/>
        <v/>
      </c>
      <c r="H3169" s="35"/>
      <c r="I3169" s="31"/>
      <c r="J3169" s="156">
        <v>0</v>
      </c>
    </row>
    <row r="3170" spans="1:10" ht="15.75" hidden="1" thickBot="1" x14ac:dyDescent="0.3">
      <c r="A3170" s="222"/>
      <c r="B3170" s="225"/>
      <c r="C3170" s="36" t="s">
        <v>760</v>
      </c>
      <c r="D3170" s="47" t="s">
        <v>759</v>
      </c>
      <c r="E3170" s="37">
        <v>0.65</v>
      </c>
      <c r="F3170" s="31">
        <v>16.311500000000002</v>
      </c>
      <c r="G3170" s="34">
        <f t="shared" si="55"/>
        <v>10.602475000000002</v>
      </c>
      <c r="H3170" s="39">
        <f>SUM(G3170:G3173)</f>
        <v>23.257406000000003</v>
      </c>
      <c r="I3170" s="40"/>
      <c r="J3170" s="156">
        <v>0</v>
      </c>
    </row>
    <row r="3171" spans="1:10" ht="39" hidden="1" thickBot="1" x14ac:dyDescent="0.3">
      <c r="A3171" s="222"/>
      <c r="B3171" s="225"/>
      <c r="C3171" s="36" t="s">
        <v>1000</v>
      </c>
      <c r="D3171" s="47" t="s">
        <v>1001</v>
      </c>
      <c r="E3171" s="37">
        <v>0.27400000000000002</v>
      </c>
      <c r="F3171" s="31">
        <v>24.291499999999999</v>
      </c>
      <c r="G3171" s="34">
        <f t="shared" si="55"/>
        <v>6.6558710000000003</v>
      </c>
      <c r="H3171" s="35"/>
      <c r="I3171" s="31"/>
      <c r="J3171" s="156">
        <v>0</v>
      </c>
    </row>
    <row r="3172" spans="1:10" ht="39" hidden="1" thickBot="1" x14ac:dyDescent="0.3">
      <c r="A3172" s="222"/>
      <c r="B3172" s="225"/>
      <c r="C3172" s="36" t="s">
        <v>1002</v>
      </c>
      <c r="D3172" s="47" t="s">
        <v>1003</v>
      </c>
      <c r="E3172" s="37">
        <v>0.254</v>
      </c>
      <c r="F3172" s="31">
        <v>17.974</v>
      </c>
      <c r="G3172" s="34">
        <f t="shared" si="55"/>
        <v>4.5653959999999998</v>
      </c>
      <c r="H3172" s="35"/>
      <c r="I3172" s="31"/>
      <c r="J3172" s="156">
        <v>0</v>
      </c>
    </row>
    <row r="3173" spans="1:10" ht="26.25" hidden="1" thickBot="1" x14ac:dyDescent="0.3">
      <c r="A3173" s="222"/>
      <c r="B3173" s="225"/>
      <c r="C3173" s="36" t="s">
        <v>1004</v>
      </c>
      <c r="D3173" s="36" t="s">
        <v>124</v>
      </c>
      <c r="E3173" s="37">
        <v>1</v>
      </c>
      <c r="F3173" s="31">
        <v>1.433664</v>
      </c>
      <c r="G3173" s="34">
        <f t="shared" si="55"/>
        <v>1.433664</v>
      </c>
      <c r="H3173" s="35"/>
      <c r="I3173" s="31"/>
      <c r="J3173" s="156">
        <v>0</v>
      </c>
    </row>
    <row r="3174" spans="1:10" ht="15.75" hidden="1" thickBot="1" x14ac:dyDescent="0.3">
      <c r="A3174" s="223"/>
      <c r="B3174" s="226"/>
      <c r="C3174" s="36"/>
      <c r="D3174" s="36"/>
      <c r="E3174" s="37"/>
      <c r="F3174" s="31" t="s">
        <v>572</v>
      </c>
      <c r="G3174" s="34" t="str">
        <f t="shared" si="55"/>
        <v/>
      </c>
      <c r="H3174" s="35"/>
      <c r="I3174" s="31"/>
      <c r="J3174" s="156">
        <v>0</v>
      </c>
    </row>
    <row r="3175" spans="1:10" ht="15.75" hidden="1" thickBot="1" x14ac:dyDescent="0.3">
      <c r="A3175" s="221" t="s">
        <v>1005</v>
      </c>
      <c r="B3175" s="224" t="str">
        <f>INDEX(Orçamentária!A:B,MATCH(Composições!A3175,Orçamentária!A:A,0),2)</f>
        <v>Aterro de vala com compactação mecanizada</v>
      </c>
      <c r="C3175" s="41"/>
      <c r="D3175" s="26" t="str">
        <f>TRIM(INDEX(Orçamentária!C:C,MATCH(Composições!A3175,Orçamentária!A:A,0),1))</f>
        <v>m3</v>
      </c>
      <c r="E3175" s="27"/>
      <c r="F3175" s="42" t="s">
        <v>572</v>
      </c>
      <c r="G3175" s="28" t="str">
        <f t="shared" si="55"/>
        <v/>
      </c>
      <c r="H3175" s="29"/>
      <c r="I3175" s="30"/>
      <c r="J3175" s="156">
        <v>0</v>
      </c>
    </row>
    <row r="3176" spans="1:10" ht="15.75" hidden="1" thickBot="1" x14ac:dyDescent="0.3">
      <c r="A3176" s="222"/>
      <c r="B3176" s="225"/>
      <c r="C3176" s="32"/>
      <c r="D3176" s="32"/>
      <c r="E3176" s="33"/>
      <c r="F3176" s="43" t="s">
        <v>572</v>
      </c>
      <c r="G3176" s="34" t="str">
        <f t="shared" si="55"/>
        <v/>
      </c>
      <c r="H3176" s="35"/>
      <c r="I3176" s="31"/>
      <c r="J3176" s="156">
        <v>0</v>
      </c>
    </row>
    <row r="3177" spans="1:10" ht="51.75" hidden="1" thickBot="1" x14ac:dyDescent="0.3">
      <c r="A3177" s="222"/>
      <c r="B3177" s="225"/>
      <c r="C3177" s="36" t="s">
        <v>1006</v>
      </c>
      <c r="D3177" s="47" t="s">
        <v>1001</v>
      </c>
      <c r="E3177" s="37">
        <v>6.0000000000000001E-3</v>
      </c>
      <c r="F3177" s="31">
        <v>195.83299999999997</v>
      </c>
      <c r="G3177" s="34">
        <f t="shared" si="55"/>
        <v>1.1749979999999998</v>
      </c>
      <c r="H3177" s="39">
        <f>SUM(G3177:G3184)</f>
        <v>87.478461687500001</v>
      </c>
      <c r="I3177" s="40"/>
      <c r="J3177" s="156">
        <v>0</v>
      </c>
    </row>
    <row r="3178" spans="1:10" ht="51.75" hidden="1" thickBot="1" x14ac:dyDescent="0.3">
      <c r="A3178" s="222"/>
      <c r="B3178" s="225"/>
      <c r="C3178" s="36" t="s">
        <v>1007</v>
      </c>
      <c r="D3178" s="47" t="s">
        <v>1003</v>
      </c>
      <c r="E3178" s="37">
        <v>3.0000000000000001E-3</v>
      </c>
      <c r="F3178" s="31">
        <v>37.287500000000001</v>
      </c>
      <c r="G3178" s="34">
        <f t="shared" si="55"/>
        <v>0.1118625</v>
      </c>
      <c r="H3178" s="35"/>
      <c r="I3178" s="31"/>
      <c r="J3178" s="156">
        <v>0</v>
      </c>
    </row>
    <row r="3179" spans="1:10" ht="26.25" hidden="1" thickBot="1" x14ac:dyDescent="0.3">
      <c r="A3179" s="222"/>
      <c r="B3179" s="225"/>
      <c r="C3179" s="36" t="s">
        <v>1008</v>
      </c>
      <c r="D3179" s="47" t="s">
        <v>124</v>
      </c>
      <c r="E3179" s="37">
        <v>1.25</v>
      </c>
      <c r="F3179" s="31">
        <v>8.9205000000000005</v>
      </c>
      <c r="G3179" s="34">
        <f t="shared" si="55"/>
        <v>11.150625000000002</v>
      </c>
      <c r="H3179" s="35"/>
      <c r="I3179" s="31"/>
      <c r="J3179" s="156">
        <v>0</v>
      </c>
    </row>
    <row r="3180" spans="1:10" ht="15.75" hidden="1" thickBot="1" x14ac:dyDescent="0.3">
      <c r="A3180" s="222"/>
      <c r="B3180" s="225"/>
      <c r="C3180" s="36" t="s">
        <v>760</v>
      </c>
      <c r="D3180" s="36" t="s">
        <v>759</v>
      </c>
      <c r="E3180" s="37">
        <v>0.65900000000000003</v>
      </c>
      <c r="F3180" s="31">
        <v>16.311500000000002</v>
      </c>
      <c r="G3180" s="34">
        <f t="shared" si="55"/>
        <v>10.749278500000003</v>
      </c>
      <c r="H3180" s="35"/>
      <c r="I3180" s="31"/>
      <c r="J3180" s="156">
        <v>0</v>
      </c>
    </row>
    <row r="3181" spans="1:10" ht="39" hidden="1" thickBot="1" x14ac:dyDescent="0.3">
      <c r="A3181" s="222"/>
      <c r="B3181" s="225"/>
      <c r="C3181" s="36" t="s">
        <v>1000</v>
      </c>
      <c r="D3181" s="36" t="s">
        <v>1001</v>
      </c>
      <c r="E3181" s="37">
        <v>0.27400000000000002</v>
      </c>
      <c r="F3181" s="31">
        <v>24.291499999999999</v>
      </c>
      <c r="G3181" s="34">
        <f t="shared" si="55"/>
        <v>6.6558710000000003</v>
      </c>
      <c r="H3181" s="35"/>
      <c r="I3181" s="31"/>
      <c r="J3181" s="156">
        <v>0</v>
      </c>
    </row>
    <row r="3182" spans="1:10" ht="39" hidden="1" thickBot="1" x14ac:dyDescent="0.3">
      <c r="A3182" s="222"/>
      <c r="B3182" s="225"/>
      <c r="C3182" s="36" t="s">
        <v>1002</v>
      </c>
      <c r="D3182" s="36" t="s">
        <v>1003</v>
      </c>
      <c r="E3182" s="37">
        <v>0.254</v>
      </c>
      <c r="F3182" s="31">
        <v>17.974</v>
      </c>
      <c r="G3182" s="34">
        <f t="shared" si="55"/>
        <v>4.5653959999999998</v>
      </c>
      <c r="H3182" s="35"/>
      <c r="I3182" s="31"/>
      <c r="J3182" s="156">
        <v>0</v>
      </c>
    </row>
    <row r="3183" spans="1:10" ht="51.75" hidden="1" thickBot="1" x14ac:dyDescent="0.3">
      <c r="A3183" s="222"/>
      <c r="B3183" s="225"/>
      <c r="C3183" s="36" t="s">
        <v>3619</v>
      </c>
      <c r="D3183" s="36" t="s">
        <v>112</v>
      </c>
      <c r="E3183" s="37">
        <f>E3179*1</f>
        <v>1.25</v>
      </c>
      <c r="F3183" s="34">
        <v>5.5686425499999999</v>
      </c>
      <c r="G3183" s="34">
        <f t="shared" si="55"/>
        <v>6.9608031874999998</v>
      </c>
      <c r="H3183" s="35"/>
      <c r="I3183" s="31"/>
      <c r="J3183" s="156">
        <v>0</v>
      </c>
    </row>
    <row r="3184" spans="1:10" ht="39" hidden="1" thickBot="1" x14ac:dyDescent="0.3">
      <c r="A3184" s="222"/>
      <c r="B3184" s="225"/>
      <c r="C3184" s="36" t="s">
        <v>125</v>
      </c>
      <c r="D3184" s="47" t="s">
        <v>126</v>
      </c>
      <c r="E3184" s="37">
        <f>E3179*20</f>
        <v>25</v>
      </c>
      <c r="F3184" s="34">
        <v>1.8443850999999998</v>
      </c>
      <c r="G3184" s="34">
        <f t="shared" si="55"/>
        <v>46.109627499999995</v>
      </c>
      <c r="H3184" s="35"/>
      <c r="I3184" s="31"/>
      <c r="J3184" s="156">
        <v>0</v>
      </c>
    </row>
    <row r="3185" spans="1:10" ht="15.75" hidden="1" thickBot="1" x14ac:dyDescent="0.3">
      <c r="A3185" s="222"/>
      <c r="B3185" s="225"/>
      <c r="C3185" s="51"/>
      <c r="D3185" s="47"/>
      <c r="E3185" s="37"/>
      <c r="F3185" s="34" t="s">
        <v>572</v>
      </c>
      <c r="G3185" s="34" t="str">
        <f t="shared" si="55"/>
        <v/>
      </c>
      <c r="H3185" s="35"/>
      <c r="I3185" s="31"/>
      <c r="J3185" s="156">
        <v>0</v>
      </c>
    </row>
    <row r="3186" spans="1:10" ht="26.25" hidden="1" thickBot="1" x14ac:dyDescent="0.3">
      <c r="A3186" s="222"/>
      <c r="B3186" s="225"/>
      <c r="C3186" s="48" t="s">
        <v>1009</v>
      </c>
      <c r="D3186" s="47"/>
      <c r="E3186" s="37"/>
      <c r="F3186" s="34" t="s">
        <v>572</v>
      </c>
      <c r="G3186" s="34" t="str">
        <f t="shared" si="55"/>
        <v/>
      </c>
      <c r="H3186" s="35"/>
      <c r="I3186" s="31"/>
      <c r="J3186" s="156">
        <v>0</v>
      </c>
    </row>
    <row r="3187" spans="1:10" ht="15.75" hidden="1" thickBot="1" x14ac:dyDescent="0.3">
      <c r="A3187" s="223"/>
      <c r="B3187" s="226"/>
      <c r="C3187" s="36"/>
      <c r="D3187" s="36"/>
      <c r="E3187" s="37"/>
      <c r="F3187" s="31" t="s">
        <v>572</v>
      </c>
      <c r="G3187" s="31" t="str">
        <f t="shared" si="55"/>
        <v/>
      </c>
      <c r="H3187" s="35"/>
      <c r="I3187" s="31"/>
      <c r="J3187" s="156">
        <v>0</v>
      </c>
    </row>
    <row r="3188" spans="1:10" ht="15.75" hidden="1" thickBot="1" x14ac:dyDescent="0.3">
      <c r="A3188" s="221" t="s">
        <v>1010</v>
      </c>
      <c r="B3188" s="224" t="str">
        <f>INDEX(Orçamentária!A:B,MATCH(Composições!A3188,Orçamentária!A:A,0),2)</f>
        <v>Tubo de cobre classe "E" 22mm</v>
      </c>
      <c r="C3188" s="41"/>
      <c r="D3188" s="26" t="str">
        <f>TRIM(INDEX(Orçamentária!C:C,MATCH(Composições!A3188,Orçamentária!A:A,0),1))</f>
        <v>m</v>
      </c>
      <c r="E3188" s="27"/>
      <c r="F3188" s="42" t="s">
        <v>572</v>
      </c>
      <c r="G3188" s="28" t="str">
        <f t="shared" si="55"/>
        <v/>
      </c>
      <c r="H3188" s="29"/>
      <c r="I3188" s="30"/>
      <c r="J3188" s="156">
        <v>0</v>
      </c>
    </row>
    <row r="3189" spans="1:10" ht="15.75" hidden="1" thickBot="1" x14ac:dyDescent="0.3">
      <c r="A3189" s="222"/>
      <c r="B3189" s="225"/>
      <c r="C3189" s="32"/>
      <c r="D3189" s="32"/>
      <c r="E3189" s="33"/>
      <c r="F3189" s="43" t="s">
        <v>572</v>
      </c>
      <c r="G3189" s="34" t="str">
        <f t="shared" si="55"/>
        <v/>
      </c>
      <c r="H3189" s="35"/>
      <c r="I3189" s="31"/>
      <c r="J3189" s="156">
        <v>0</v>
      </c>
    </row>
    <row r="3190" spans="1:10" ht="26.25" hidden="1" thickBot="1" x14ac:dyDescent="0.3">
      <c r="A3190" s="222"/>
      <c r="B3190" s="225"/>
      <c r="C3190" s="36" t="s">
        <v>1011</v>
      </c>
      <c r="D3190" s="36" t="s">
        <v>527</v>
      </c>
      <c r="E3190" s="37">
        <v>1.0210999999999999</v>
      </c>
      <c r="F3190" s="31">
        <v>44.612000000000002</v>
      </c>
      <c r="G3190" s="34">
        <f t="shared" si="55"/>
        <v>45.553313199999998</v>
      </c>
      <c r="H3190" s="39">
        <f>SUM(G3190:G3192)</f>
        <v>51.099185200000001</v>
      </c>
      <c r="I3190" s="40"/>
      <c r="J3190" s="156">
        <v>0</v>
      </c>
    </row>
    <row r="3191" spans="1:10" ht="26.25" hidden="1" thickBot="1" x14ac:dyDescent="0.3">
      <c r="A3191" s="222"/>
      <c r="B3191" s="225"/>
      <c r="C3191" s="36" t="s">
        <v>1012</v>
      </c>
      <c r="D3191" s="47" t="s">
        <v>759</v>
      </c>
      <c r="E3191" s="37">
        <v>0.14399999999999999</v>
      </c>
      <c r="F3191" s="31">
        <v>16.891000000000002</v>
      </c>
      <c r="G3191" s="34">
        <f t="shared" si="55"/>
        <v>2.4323040000000002</v>
      </c>
      <c r="H3191" s="35"/>
      <c r="I3191" s="31"/>
      <c r="J3191" s="156">
        <v>0</v>
      </c>
    </row>
    <row r="3192" spans="1:10" ht="26.25" hidden="1" thickBot="1" x14ac:dyDescent="0.3">
      <c r="A3192" s="222"/>
      <c r="B3192" s="225"/>
      <c r="C3192" s="36" t="s">
        <v>1013</v>
      </c>
      <c r="D3192" s="47" t="s">
        <v>759</v>
      </c>
      <c r="E3192" s="37">
        <v>0.14399999999999999</v>
      </c>
      <c r="F3192" s="31">
        <v>21.622</v>
      </c>
      <c r="G3192" s="34">
        <f t="shared" si="55"/>
        <v>3.1135679999999999</v>
      </c>
      <c r="H3192" s="35"/>
      <c r="I3192" s="31"/>
      <c r="J3192" s="156">
        <v>0</v>
      </c>
    </row>
    <row r="3193" spans="1:10" ht="15.75" hidden="1" thickBot="1" x14ac:dyDescent="0.3">
      <c r="A3193" s="223"/>
      <c r="B3193" s="226"/>
      <c r="C3193" s="36"/>
      <c r="D3193" s="36"/>
      <c r="E3193" s="37"/>
      <c r="F3193" s="31" t="s">
        <v>572</v>
      </c>
      <c r="G3193" s="34" t="str">
        <f t="shared" si="55"/>
        <v/>
      </c>
      <c r="H3193" s="35"/>
      <c r="I3193" s="31"/>
      <c r="J3193" s="156">
        <v>0</v>
      </c>
    </row>
    <row r="3194" spans="1:10" ht="15.75" hidden="1" thickBot="1" x14ac:dyDescent="0.3">
      <c r="A3194" s="221" t="s">
        <v>1014</v>
      </c>
      <c r="B3194" s="224" t="str">
        <f>INDEX(Orçamentária!A:B,MATCH(Composições!A3194,Orçamentária!A:A,0),2)</f>
        <v>Tubo de cobre classe "E" 28 mm</v>
      </c>
      <c r="C3194" s="41"/>
      <c r="D3194" s="26" t="str">
        <f>TRIM(INDEX(Orçamentária!C:C,MATCH(Composições!A3194,Orçamentária!A:A,0),1))</f>
        <v>m</v>
      </c>
      <c r="E3194" s="27"/>
      <c r="F3194" s="42" t="s">
        <v>572</v>
      </c>
      <c r="G3194" s="28" t="str">
        <f t="shared" si="55"/>
        <v/>
      </c>
      <c r="H3194" s="29"/>
      <c r="I3194" s="30"/>
      <c r="J3194" s="156">
        <v>0</v>
      </c>
    </row>
    <row r="3195" spans="1:10" ht="15.75" hidden="1" thickBot="1" x14ac:dyDescent="0.3">
      <c r="A3195" s="222"/>
      <c r="B3195" s="225"/>
      <c r="C3195" s="32"/>
      <c r="D3195" s="32"/>
      <c r="E3195" s="33"/>
      <c r="F3195" s="43" t="s">
        <v>572</v>
      </c>
      <c r="G3195" s="34" t="str">
        <f t="shared" si="55"/>
        <v/>
      </c>
      <c r="H3195" s="35"/>
      <c r="I3195" s="31"/>
      <c r="J3195" s="156">
        <v>0</v>
      </c>
    </row>
    <row r="3196" spans="1:10" ht="26.25" hidden="1" thickBot="1" x14ac:dyDescent="0.3">
      <c r="A3196" s="222"/>
      <c r="B3196" s="225"/>
      <c r="C3196" s="36" t="s">
        <v>1015</v>
      </c>
      <c r="D3196" s="36" t="s">
        <v>527</v>
      </c>
      <c r="E3196" s="37">
        <v>1.0210999999999999</v>
      </c>
      <c r="F3196" s="31">
        <v>56.62</v>
      </c>
      <c r="G3196" s="34">
        <f t="shared" si="55"/>
        <v>57.814681999999991</v>
      </c>
      <c r="H3196" s="39">
        <f>SUM(G3196:G3198)</f>
        <v>63.976761999999987</v>
      </c>
      <c r="I3196" s="40"/>
      <c r="J3196" s="156">
        <v>0</v>
      </c>
    </row>
    <row r="3197" spans="1:10" ht="26.25" hidden="1" thickBot="1" x14ac:dyDescent="0.3">
      <c r="A3197" s="222"/>
      <c r="B3197" s="225"/>
      <c r="C3197" s="36" t="s">
        <v>1012</v>
      </c>
      <c r="D3197" s="47" t="s">
        <v>759</v>
      </c>
      <c r="E3197" s="37">
        <v>0.16</v>
      </c>
      <c r="F3197" s="31">
        <v>16.891000000000002</v>
      </c>
      <c r="G3197" s="34">
        <f t="shared" si="55"/>
        <v>2.7025600000000005</v>
      </c>
      <c r="H3197" s="35"/>
      <c r="I3197" s="31"/>
      <c r="J3197" s="156">
        <v>0</v>
      </c>
    </row>
    <row r="3198" spans="1:10" ht="26.25" hidden="1" thickBot="1" x14ac:dyDescent="0.3">
      <c r="A3198" s="222"/>
      <c r="B3198" s="225"/>
      <c r="C3198" s="36" t="s">
        <v>1013</v>
      </c>
      <c r="D3198" s="47" t="s">
        <v>759</v>
      </c>
      <c r="E3198" s="37">
        <v>0.16</v>
      </c>
      <c r="F3198" s="31">
        <v>21.622</v>
      </c>
      <c r="G3198" s="34">
        <f t="shared" si="55"/>
        <v>3.4595199999999999</v>
      </c>
      <c r="H3198" s="35"/>
      <c r="I3198" s="31"/>
      <c r="J3198" s="156">
        <v>0</v>
      </c>
    </row>
    <row r="3199" spans="1:10" ht="15.75" hidden="1" thickBot="1" x14ac:dyDescent="0.3">
      <c r="A3199" s="223"/>
      <c r="B3199" s="226"/>
      <c r="C3199" s="36"/>
      <c r="D3199" s="36"/>
      <c r="E3199" s="37"/>
      <c r="F3199" s="31" t="s">
        <v>572</v>
      </c>
      <c r="G3199" s="34" t="str">
        <f t="shared" si="55"/>
        <v/>
      </c>
      <c r="H3199" s="35"/>
      <c r="I3199" s="31"/>
      <c r="J3199" s="156">
        <v>0</v>
      </c>
    </row>
    <row r="3200" spans="1:10" ht="15.75" hidden="1" thickBot="1" x14ac:dyDescent="0.3">
      <c r="A3200" s="221" t="s">
        <v>1016</v>
      </c>
      <c r="B3200" s="224" t="str">
        <f>INDEX(Orçamentária!A:B,MATCH(Composições!A3200,Orçamentária!A:A,0),2)</f>
        <v>Tubo de cobre classe "E" 42mm</v>
      </c>
      <c r="C3200" s="41"/>
      <c r="D3200" s="26" t="str">
        <f>TRIM(INDEX(Orçamentária!C:C,MATCH(Composições!A3200,Orçamentária!A:A,0),1))</f>
        <v>m</v>
      </c>
      <c r="E3200" s="27"/>
      <c r="F3200" s="42" t="s">
        <v>572</v>
      </c>
      <c r="G3200" s="28" t="str">
        <f t="shared" si="55"/>
        <v/>
      </c>
      <c r="H3200" s="29"/>
      <c r="I3200" s="30"/>
      <c r="J3200" s="156">
        <v>0</v>
      </c>
    </row>
    <row r="3201" spans="1:10" ht="15.75" hidden="1" thickBot="1" x14ac:dyDescent="0.3">
      <c r="A3201" s="222"/>
      <c r="B3201" s="225"/>
      <c r="C3201" s="32"/>
      <c r="D3201" s="32"/>
      <c r="E3201" s="33"/>
      <c r="F3201" s="43" t="s">
        <v>572</v>
      </c>
      <c r="G3201" s="34" t="str">
        <f t="shared" si="55"/>
        <v/>
      </c>
      <c r="H3201" s="35"/>
      <c r="I3201" s="31"/>
      <c r="J3201" s="156">
        <v>0</v>
      </c>
    </row>
    <row r="3202" spans="1:10" ht="26.25" hidden="1" thickBot="1" x14ac:dyDescent="0.3">
      <c r="A3202" s="222"/>
      <c r="B3202" s="225"/>
      <c r="C3202" s="36" t="s">
        <v>1017</v>
      </c>
      <c r="D3202" s="47" t="s">
        <v>527</v>
      </c>
      <c r="E3202" s="37">
        <v>1.0210999999999999</v>
      </c>
      <c r="F3202" s="31">
        <v>111.03599999999999</v>
      </c>
      <c r="G3202" s="34">
        <f t="shared" si="55"/>
        <v>113.37885959999997</v>
      </c>
      <c r="H3202" s="39">
        <f>SUM(G3202:G3204)</f>
        <v>116.30584759999996</v>
      </c>
      <c r="I3202" s="40"/>
      <c r="J3202" s="156">
        <v>0</v>
      </c>
    </row>
    <row r="3203" spans="1:10" ht="26.25" hidden="1" thickBot="1" x14ac:dyDescent="0.3">
      <c r="A3203" s="222"/>
      <c r="B3203" s="225"/>
      <c r="C3203" s="36" t="s">
        <v>1012</v>
      </c>
      <c r="D3203" s="47" t="s">
        <v>759</v>
      </c>
      <c r="E3203" s="37">
        <v>7.5999999999999998E-2</v>
      </c>
      <c r="F3203" s="31">
        <v>16.891000000000002</v>
      </c>
      <c r="G3203" s="34">
        <f t="shared" si="55"/>
        <v>1.2837160000000001</v>
      </c>
      <c r="H3203" s="35"/>
      <c r="I3203" s="31"/>
      <c r="J3203" s="156">
        <v>0</v>
      </c>
    </row>
    <row r="3204" spans="1:10" ht="26.25" hidden="1" thickBot="1" x14ac:dyDescent="0.3">
      <c r="A3204" s="222"/>
      <c r="B3204" s="225"/>
      <c r="C3204" s="36" t="s">
        <v>1013</v>
      </c>
      <c r="D3204" s="47" t="s">
        <v>759</v>
      </c>
      <c r="E3204" s="37">
        <v>7.5999999999999998E-2</v>
      </c>
      <c r="F3204" s="31">
        <v>21.622</v>
      </c>
      <c r="G3204" s="34">
        <f t="shared" si="55"/>
        <v>1.6432719999999998</v>
      </c>
      <c r="H3204" s="35"/>
      <c r="I3204" s="31"/>
      <c r="J3204" s="156">
        <v>0</v>
      </c>
    </row>
    <row r="3205" spans="1:10" ht="15.75" hidden="1" thickBot="1" x14ac:dyDescent="0.3">
      <c r="A3205" s="223"/>
      <c r="B3205" s="226"/>
      <c r="C3205" s="36"/>
      <c r="D3205" s="36"/>
      <c r="E3205" s="37"/>
      <c r="F3205" s="31" t="s">
        <v>572</v>
      </c>
      <c r="G3205" s="34" t="str">
        <f t="shared" si="55"/>
        <v/>
      </c>
      <c r="H3205" s="35"/>
      <c r="I3205" s="31"/>
      <c r="J3205" s="156">
        <v>0</v>
      </c>
    </row>
    <row r="3206" spans="1:10" ht="15.75" hidden="1" thickBot="1" x14ac:dyDescent="0.3">
      <c r="A3206" s="221" t="s">
        <v>1018</v>
      </c>
      <c r="B3206" s="224" t="str">
        <f>INDEX(Orçamentária!A:B,MATCH(Composições!A3206,Orçamentária!A:A,0),2)</f>
        <v>Bacia convencional - Linha Acessibilidade</v>
      </c>
      <c r="C3206" s="41"/>
      <c r="D3206" s="26" t="str">
        <f>TRIM(INDEX(Orçamentária!C:C,MATCH(Composições!A3206,Orçamentária!A:A,0),1))</f>
        <v>un</v>
      </c>
      <c r="E3206" s="27"/>
      <c r="F3206" s="42" t="s">
        <v>572</v>
      </c>
      <c r="G3206" s="28" t="str">
        <f t="shared" si="55"/>
        <v/>
      </c>
      <c r="H3206" s="29"/>
      <c r="I3206" s="30"/>
      <c r="J3206" s="156">
        <v>0</v>
      </c>
    </row>
    <row r="3207" spans="1:10" ht="15.75" hidden="1" thickBot="1" x14ac:dyDescent="0.3">
      <c r="A3207" s="222"/>
      <c r="B3207" s="225"/>
      <c r="C3207" s="32"/>
      <c r="D3207" s="32"/>
      <c r="E3207" s="33"/>
      <c r="F3207" s="43" t="s">
        <v>572</v>
      </c>
      <c r="G3207" s="34" t="str">
        <f t="shared" si="55"/>
        <v/>
      </c>
      <c r="H3207" s="35"/>
      <c r="I3207" s="31"/>
      <c r="J3207" s="156">
        <v>0</v>
      </c>
    </row>
    <row r="3208" spans="1:10" ht="39" hidden="1" thickBot="1" x14ac:dyDescent="0.3">
      <c r="A3208" s="222"/>
      <c r="B3208" s="225"/>
      <c r="C3208" s="36" t="s">
        <v>1019</v>
      </c>
      <c r="D3208" s="47" t="s">
        <v>299</v>
      </c>
      <c r="E3208" s="37">
        <v>2</v>
      </c>
      <c r="F3208" s="31">
        <v>10.953499999999998</v>
      </c>
      <c r="G3208" s="34">
        <f t="shared" si="55"/>
        <v>21.906999999999996</v>
      </c>
      <c r="H3208" s="39">
        <f>SUM(G3208:G3214)</f>
        <v>708.14030559999992</v>
      </c>
      <c r="I3208" s="40"/>
      <c r="J3208" s="156">
        <v>0</v>
      </c>
    </row>
    <row r="3209" spans="1:10" ht="15.75" hidden="1" thickBot="1" x14ac:dyDescent="0.3">
      <c r="A3209" s="222"/>
      <c r="B3209" s="225"/>
      <c r="C3209" s="36" t="s">
        <v>1020</v>
      </c>
      <c r="D3209" s="47" t="s">
        <v>299</v>
      </c>
      <c r="E3209" s="37">
        <v>1</v>
      </c>
      <c r="F3209" s="31">
        <v>2.7454999999999998</v>
      </c>
      <c r="G3209" s="34">
        <f t="shared" si="55"/>
        <v>2.7454999999999998</v>
      </c>
      <c r="H3209" s="35"/>
      <c r="I3209" s="31"/>
      <c r="J3209" s="156">
        <v>0</v>
      </c>
    </row>
    <row r="3210" spans="1:10" ht="26.25" hidden="1" thickBot="1" x14ac:dyDescent="0.3">
      <c r="A3210" s="222"/>
      <c r="B3210" s="225"/>
      <c r="C3210" s="36" t="s">
        <v>1021</v>
      </c>
      <c r="D3210" s="47" t="s">
        <v>299</v>
      </c>
      <c r="E3210" s="37">
        <v>1</v>
      </c>
      <c r="F3210" s="31">
        <v>662.38749999999993</v>
      </c>
      <c r="G3210" s="34">
        <f t="shared" si="55"/>
        <v>662.38749999999993</v>
      </c>
      <c r="H3210" s="35"/>
      <c r="I3210" s="31"/>
      <c r="J3210" s="156">
        <v>0</v>
      </c>
    </row>
    <row r="3211" spans="1:10" ht="15.75" hidden="1" thickBot="1" x14ac:dyDescent="0.3">
      <c r="A3211" s="222"/>
      <c r="B3211" s="225"/>
      <c r="C3211" s="36" t="s">
        <v>3625</v>
      </c>
      <c r="D3211" s="47" t="s">
        <v>957</v>
      </c>
      <c r="E3211" s="37">
        <v>8.8099999999999998E-2</v>
      </c>
      <c r="F3211" s="31">
        <v>52.8675</v>
      </c>
      <c r="G3211" s="34">
        <f t="shared" si="55"/>
        <v>4.6576267499999995</v>
      </c>
      <c r="H3211" s="35"/>
      <c r="I3211" s="31"/>
      <c r="J3211" s="156">
        <v>0</v>
      </c>
    </row>
    <row r="3212" spans="1:10" ht="26.25" hidden="1" thickBot="1" x14ac:dyDescent="0.3">
      <c r="A3212" s="222"/>
      <c r="B3212" s="225"/>
      <c r="C3212" s="36" t="s">
        <v>1013</v>
      </c>
      <c r="D3212" s="47" t="s">
        <v>759</v>
      </c>
      <c r="E3212" s="37">
        <v>0.49680000000000002</v>
      </c>
      <c r="F3212" s="31">
        <v>21.622</v>
      </c>
      <c r="G3212" s="34">
        <f t="shared" si="55"/>
        <v>10.7418096</v>
      </c>
      <c r="H3212" s="35"/>
      <c r="I3212" s="31"/>
      <c r="J3212" s="156">
        <v>0</v>
      </c>
    </row>
    <row r="3213" spans="1:10" ht="15.75" hidden="1" thickBot="1" x14ac:dyDescent="0.3">
      <c r="A3213" s="222"/>
      <c r="B3213" s="225"/>
      <c r="C3213" s="36" t="s">
        <v>760</v>
      </c>
      <c r="D3213" s="47" t="s">
        <v>759</v>
      </c>
      <c r="E3213" s="37">
        <v>0.34949999999999998</v>
      </c>
      <c r="F3213" s="31">
        <v>16.311500000000002</v>
      </c>
      <c r="G3213" s="34">
        <f t="shared" si="55"/>
        <v>5.7008692500000002</v>
      </c>
      <c r="H3213" s="35"/>
      <c r="I3213" s="31"/>
      <c r="J3213" s="156">
        <v>0</v>
      </c>
    </row>
    <row r="3214" spans="1:10" ht="26.25" hidden="1" thickBot="1" x14ac:dyDescent="0.3">
      <c r="A3214" s="222"/>
      <c r="B3214" s="225"/>
      <c r="C3214" s="36" t="s">
        <v>328</v>
      </c>
      <c r="D3214" s="36" t="s">
        <v>20</v>
      </c>
      <c r="E3214" s="37">
        <v>1</v>
      </c>
      <c r="F3214" s="34" t="s">
        <v>572</v>
      </c>
      <c r="G3214" s="34" t="str">
        <f t="shared" si="55"/>
        <v/>
      </c>
      <c r="H3214" s="35"/>
      <c r="I3214" s="31"/>
      <c r="J3214" s="156">
        <v>0</v>
      </c>
    </row>
    <row r="3215" spans="1:10" ht="15.75" hidden="1" thickBot="1" x14ac:dyDescent="0.3">
      <c r="A3215" s="223"/>
      <c r="B3215" s="226"/>
      <c r="C3215" s="36"/>
      <c r="D3215" s="36"/>
      <c r="E3215" s="37"/>
      <c r="F3215" s="31" t="s">
        <v>572</v>
      </c>
      <c r="G3215" s="34" t="str">
        <f t="shared" si="55"/>
        <v/>
      </c>
      <c r="H3215" s="35"/>
      <c r="I3215" s="31"/>
      <c r="J3215" s="156">
        <v>0</v>
      </c>
    </row>
    <row r="3216" spans="1:10" ht="15.75" hidden="1" thickBot="1" x14ac:dyDescent="0.3">
      <c r="A3216" s="221" t="s">
        <v>1022</v>
      </c>
      <c r="B3216" s="224" t="str">
        <f>INDEX(Orçamentária!A:B,MATCH(Composições!A3216,Orçamentária!A:A,0),2)</f>
        <v>Assento para bacia convencional - Linha Acessibilidade</v>
      </c>
      <c r="C3216" s="41"/>
      <c r="D3216" s="26" t="str">
        <f>TRIM(INDEX(Orçamentária!C:C,MATCH(Composições!A3216,Orçamentária!A:A,0),1))</f>
        <v>un</v>
      </c>
      <c r="E3216" s="27"/>
      <c r="F3216" s="42" t="s">
        <v>572</v>
      </c>
      <c r="G3216" s="28" t="str">
        <f t="shared" si="55"/>
        <v/>
      </c>
      <c r="H3216" s="29"/>
      <c r="I3216" s="30"/>
      <c r="J3216" s="156">
        <v>0</v>
      </c>
    </row>
    <row r="3217" spans="1:10" ht="15.75" hidden="1" thickBot="1" x14ac:dyDescent="0.3">
      <c r="A3217" s="222"/>
      <c r="B3217" s="225"/>
      <c r="C3217" s="32"/>
      <c r="D3217" s="32"/>
      <c r="E3217" s="33"/>
      <c r="F3217" s="43" t="s">
        <v>572</v>
      </c>
      <c r="G3217" s="34" t="str">
        <f t="shared" si="55"/>
        <v/>
      </c>
      <c r="H3217" s="35"/>
      <c r="I3217" s="31"/>
      <c r="J3217" s="156">
        <v>0</v>
      </c>
    </row>
    <row r="3218" spans="1:10" ht="26.25" hidden="1" thickBot="1" x14ac:dyDescent="0.3">
      <c r="A3218" s="222"/>
      <c r="B3218" s="225"/>
      <c r="C3218" s="36" t="s">
        <v>1023</v>
      </c>
      <c r="D3218" s="47" t="s">
        <v>150</v>
      </c>
      <c r="E3218" s="37">
        <v>1</v>
      </c>
      <c r="F3218" s="31" t="s">
        <v>572</v>
      </c>
      <c r="G3218" s="34" t="str">
        <f t="shared" ref="G3218:G3281" si="56">IF(ISNUMBER(F3218),E3218*F3218,"")</f>
        <v/>
      </c>
      <c r="H3218" s="39">
        <f>SUM(G3218:G3219)</f>
        <v>1.6311500000000003</v>
      </c>
      <c r="I3218" s="40"/>
      <c r="J3218" s="156">
        <v>0</v>
      </c>
    </row>
    <row r="3219" spans="1:10" ht="15.75" hidden="1" thickBot="1" x14ac:dyDescent="0.3">
      <c r="A3219" s="222"/>
      <c r="B3219" s="225"/>
      <c r="C3219" s="36" t="s">
        <v>1024</v>
      </c>
      <c r="D3219" s="47" t="s">
        <v>12</v>
      </c>
      <c r="E3219" s="37">
        <v>0.1</v>
      </c>
      <c r="F3219" s="31">
        <v>16.311500000000002</v>
      </c>
      <c r="G3219" s="34">
        <f t="shared" si="56"/>
        <v>1.6311500000000003</v>
      </c>
      <c r="H3219" s="35"/>
      <c r="I3219" s="31"/>
      <c r="J3219" s="156">
        <v>0</v>
      </c>
    </row>
    <row r="3220" spans="1:10" ht="15.75" hidden="1" thickBot="1" x14ac:dyDescent="0.3">
      <c r="A3220" s="223"/>
      <c r="B3220" s="226"/>
      <c r="C3220" s="36"/>
      <c r="D3220" s="36"/>
      <c r="E3220" s="37"/>
      <c r="F3220" s="31" t="s">
        <v>572</v>
      </c>
      <c r="G3220" s="34" t="str">
        <f t="shared" si="56"/>
        <v/>
      </c>
      <c r="H3220" s="35"/>
      <c r="I3220" s="31"/>
      <c r="J3220" s="156">
        <v>0</v>
      </c>
    </row>
    <row r="3221" spans="1:10" ht="15.75" hidden="1" thickBot="1" x14ac:dyDescent="0.3">
      <c r="A3221" s="221" t="s">
        <v>1025</v>
      </c>
      <c r="B3221" s="224" t="str">
        <f>INDEX(Orçamentária!A:B,MATCH(Composições!A3221,Orçamentária!A:A,0),2)</f>
        <v>Base registro de gaveta 1 1/2”</v>
      </c>
      <c r="C3221" s="41"/>
      <c r="D3221" s="26" t="str">
        <f>TRIM(INDEX(Orçamentária!C:C,MATCH(Composições!A3221,Orçamentária!A:A,0),1))</f>
        <v>un</v>
      </c>
      <c r="E3221" s="27"/>
      <c r="F3221" s="42" t="s">
        <v>572</v>
      </c>
      <c r="G3221" s="28" t="str">
        <f t="shared" si="56"/>
        <v/>
      </c>
      <c r="H3221" s="29"/>
      <c r="I3221" s="30"/>
      <c r="J3221" s="156">
        <v>0</v>
      </c>
    </row>
    <row r="3222" spans="1:10" ht="15.75" hidden="1" thickBot="1" x14ac:dyDescent="0.3">
      <c r="A3222" s="222"/>
      <c r="B3222" s="225"/>
      <c r="C3222" s="32"/>
      <c r="D3222" s="32"/>
      <c r="E3222" s="33"/>
      <c r="F3222" s="43" t="s">
        <v>572</v>
      </c>
      <c r="G3222" s="34" t="str">
        <f t="shared" si="56"/>
        <v/>
      </c>
      <c r="H3222" s="35"/>
      <c r="I3222" s="31"/>
      <c r="J3222" s="156">
        <v>0</v>
      </c>
    </row>
    <row r="3223" spans="1:10" ht="26.25" hidden="1" thickBot="1" x14ac:dyDescent="0.3">
      <c r="A3223" s="222"/>
      <c r="B3223" s="225"/>
      <c r="C3223" s="36" t="s">
        <v>1026</v>
      </c>
      <c r="D3223" s="47" t="s">
        <v>150</v>
      </c>
      <c r="E3223" s="37">
        <v>1</v>
      </c>
      <c r="F3223" s="31" t="s">
        <v>572</v>
      </c>
      <c r="G3223" s="34" t="str">
        <f t="shared" si="56"/>
        <v/>
      </c>
      <c r="H3223" s="39">
        <f>SUM(G3223:G3226)</f>
        <v>30.646316000000006</v>
      </c>
      <c r="I3223" s="40"/>
      <c r="J3223" s="156">
        <v>0</v>
      </c>
    </row>
    <row r="3224" spans="1:10" ht="15.75" hidden="1" thickBot="1" x14ac:dyDescent="0.3">
      <c r="A3224" s="222"/>
      <c r="B3224" s="225"/>
      <c r="C3224" s="36" t="s">
        <v>350</v>
      </c>
      <c r="D3224" s="47" t="s">
        <v>299</v>
      </c>
      <c r="E3224" s="37">
        <v>1.9E-2</v>
      </c>
      <c r="F3224" s="31">
        <v>13.661</v>
      </c>
      <c r="G3224" s="34">
        <f t="shared" si="56"/>
        <v>0.25955899999999998</v>
      </c>
      <c r="H3224" s="35"/>
      <c r="I3224" s="31"/>
      <c r="J3224" s="156">
        <v>0</v>
      </c>
    </row>
    <row r="3225" spans="1:10" ht="15.75" hidden="1" thickBot="1" x14ac:dyDescent="0.3">
      <c r="A3225" s="222"/>
      <c r="B3225" s="225"/>
      <c r="C3225" s="36" t="s">
        <v>39</v>
      </c>
      <c r="D3225" s="47" t="s">
        <v>12</v>
      </c>
      <c r="E3225" s="37">
        <v>0.78900000000000003</v>
      </c>
      <c r="F3225" s="31">
        <v>21.622</v>
      </c>
      <c r="G3225" s="34">
        <f t="shared" si="56"/>
        <v>17.059758000000002</v>
      </c>
      <c r="H3225" s="35"/>
      <c r="I3225" s="31"/>
      <c r="J3225" s="156">
        <v>0</v>
      </c>
    </row>
    <row r="3226" spans="1:10" ht="26.25" hidden="1" thickBot="1" x14ac:dyDescent="0.3">
      <c r="A3226" s="222"/>
      <c r="B3226" s="225"/>
      <c r="C3226" s="36" t="s">
        <v>1012</v>
      </c>
      <c r="D3226" s="36" t="s">
        <v>12</v>
      </c>
      <c r="E3226" s="37">
        <v>0.78900000000000003</v>
      </c>
      <c r="F3226" s="31">
        <v>16.891000000000002</v>
      </c>
      <c r="G3226" s="34">
        <f t="shared" si="56"/>
        <v>13.326999000000002</v>
      </c>
      <c r="H3226" s="35"/>
      <c r="I3226" s="31"/>
      <c r="J3226" s="156">
        <v>0</v>
      </c>
    </row>
    <row r="3227" spans="1:10" ht="15.75" hidden="1" thickBot="1" x14ac:dyDescent="0.3">
      <c r="A3227" s="223"/>
      <c r="B3227" s="226"/>
      <c r="C3227" s="36"/>
      <c r="D3227" s="36"/>
      <c r="E3227" s="37"/>
      <c r="F3227" s="31" t="s">
        <v>572</v>
      </c>
      <c r="G3227" s="34" t="str">
        <f t="shared" si="56"/>
        <v/>
      </c>
      <c r="H3227" s="35"/>
      <c r="I3227" s="31"/>
      <c r="J3227" s="156">
        <v>0</v>
      </c>
    </row>
    <row r="3228" spans="1:10" ht="15.75" hidden="1" thickBot="1" x14ac:dyDescent="0.3">
      <c r="A3228" s="221" t="s">
        <v>1027</v>
      </c>
      <c r="B3228" s="224" t="str">
        <f>INDEX(Orçamentária!A:B,MATCH(Composições!A3228,Orçamentária!A:A,0),2)</f>
        <v>Condutor 25mm²</v>
      </c>
      <c r="C3228" s="41"/>
      <c r="D3228" s="26" t="str">
        <f>TRIM(INDEX(Orçamentária!C:C,MATCH(Composições!A3228,Orçamentária!A:A,0),1))</f>
        <v>m</v>
      </c>
      <c r="E3228" s="27"/>
      <c r="F3228" s="42" t="s">
        <v>572</v>
      </c>
      <c r="G3228" s="28" t="str">
        <f t="shared" si="56"/>
        <v/>
      </c>
      <c r="H3228" s="29"/>
      <c r="I3228" s="30"/>
      <c r="J3228" s="156">
        <v>0</v>
      </c>
    </row>
    <row r="3229" spans="1:10" ht="15.75" hidden="1" thickBot="1" x14ac:dyDescent="0.3">
      <c r="A3229" s="222"/>
      <c r="B3229" s="225"/>
      <c r="C3229" s="32"/>
      <c r="D3229" s="32"/>
      <c r="E3229" s="33"/>
      <c r="F3229" s="43" t="s">
        <v>572</v>
      </c>
      <c r="G3229" s="34" t="str">
        <f t="shared" si="56"/>
        <v/>
      </c>
      <c r="H3229" s="35"/>
      <c r="I3229" s="31"/>
      <c r="J3229" s="156">
        <v>0</v>
      </c>
    </row>
    <row r="3230" spans="1:10" ht="15.75" hidden="1" thickBot="1" x14ac:dyDescent="0.3">
      <c r="A3230" s="222"/>
      <c r="B3230" s="225"/>
      <c r="C3230" s="36" t="s">
        <v>1028</v>
      </c>
      <c r="D3230" s="36" t="s">
        <v>94</v>
      </c>
      <c r="E3230" s="37">
        <v>1.0149999999999999</v>
      </c>
      <c r="F3230" s="31">
        <v>0</v>
      </c>
      <c r="G3230" s="34">
        <f t="shared" si="56"/>
        <v>0</v>
      </c>
      <c r="H3230" s="39">
        <f>SUM(G3230:G3233)</f>
        <v>2.5662444999999998</v>
      </c>
      <c r="I3230" s="40"/>
      <c r="J3230" s="156">
        <v>0</v>
      </c>
    </row>
    <row r="3231" spans="1:10" ht="15.75" hidden="1" thickBot="1" x14ac:dyDescent="0.3">
      <c r="A3231" s="222"/>
      <c r="B3231" s="225"/>
      <c r="C3231" s="36" t="s">
        <v>607</v>
      </c>
      <c r="D3231" s="47" t="s">
        <v>299</v>
      </c>
      <c r="E3231" s="37">
        <v>8.9999999999999993E-3</v>
      </c>
      <c r="F3231" s="31">
        <v>3.2965</v>
      </c>
      <c r="G3231" s="34">
        <f t="shared" si="56"/>
        <v>2.9668499999999997E-2</v>
      </c>
      <c r="H3231" s="35"/>
      <c r="I3231" s="31"/>
      <c r="J3231" s="156">
        <v>0</v>
      </c>
    </row>
    <row r="3232" spans="1:10" ht="15.75" hidden="1" thickBot="1" x14ac:dyDescent="0.3">
      <c r="A3232" s="222"/>
      <c r="B3232" s="225"/>
      <c r="C3232" s="36" t="s">
        <v>74</v>
      </c>
      <c r="D3232" s="36" t="s">
        <v>12</v>
      </c>
      <c r="E3232" s="37">
        <v>6.4000000000000001E-2</v>
      </c>
      <c r="F3232" s="31">
        <v>17.366</v>
      </c>
      <c r="G3232" s="34">
        <f t="shared" si="56"/>
        <v>1.111424</v>
      </c>
      <c r="H3232" s="35"/>
      <c r="I3232" s="31"/>
      <c r="J3232" s="156">
        <v>0</v>
      </c>
    </row>
    <row r="3233" spans="1:10" ht="15.75" hidden="1" thickBot="1" x14ac:dyDescent="0.3">
      <c r="A3233" s="222"/>
      <c r="B3233" s="225"/>
      <c r="C3233" s="36" t="s">
        <v>30</v>
      </c>
      <c r="D3233" s="36" t="s">
        <v>12</v>
      </c>
      <c r="E3233" s="37">
        <v>6.4000000000000001E-2</v>
      </c>
      <c r="F3233" s="31">
        <v>22.268000000000001</v>
      </c>
      <c r="G3233" s="34">
        <f t="shared" si="56"/>
        <v>1.425152</v>
      </c>
      <c r="H3233" s="35"/>
      <c r="I3233" s="31"/>
      <c r="J3233" s="156">
        <v>0</v>
      </c>
    </row>
    <row r="3234" spans="1:10" ht="15.75" hidden="1" thickBot="1" x14ac:dyDescent="0.3">
      <c r="A3234" s="223"/>
      <c r="B3234" s="226"/>
      <c r="C3234" s="36"/>
      <c r="D3234" s="36"/>
      <c r="E3234" s="37"/>
      <c r="F3234" s="31" t="s">
        <v>572</v>
      </c>
      <c r="G3234" s="34" t="str">
        <f t="shared" si="56"/>
        <v/>
      </c>
      <c r="H3234" s="35"/>
      <c r="I3234" s="31"/>
      <c r="J3234" s="156">
        <v>0</v>
      </c>
    </row>
    <row r="3235" spans="1:10" ht="15.75" hidden="1" thickBot="1" x14ac:dyDescent="0.3">
      <c r="A3235" s="221" t="s">
        <v>1029</v>
      </c>
      <c r="B3235" s="224" t="str">
        <f>INDEX(Orçamentária!A:B,MATCH(Composições!A3235,Orçamentária!A:A,0),2)</f>
        <v>Condutor 35mm²</v>
      </c>
      <c r="C3235" s="41"/>
      <c r="D3235" s="26" t="str">
        <f>TRIM(INDEX(Orçamentária!C:C,MATCH(Composições!A3235,Orçamentária!A:A,0),1))</f>
        <v>m</v>
      </c>
      <c r="E3235" s="27"/>
      <c r="F3235" s="42" t="s">
        <v>572</v>
      </c>
      <c r="G3235" s="28" t="str">
        <f t="shared" si="56"/>
        <v/>
      </c>
      <c r="H3235" s="29"/>
      <c r="I3235" s="30"/>
      <c r="J3235" s="156">
        <v>0</v>
      </c>
    </row>
    <row r="3236" spans="1:10" ht="15.75" hidden="1" thickBot="1" x14ac:dyDescent="0.3">
      <c r="A3236" s="222"/>
      <c r="B3236" s="225"/>
      <c r="C3236" s="32"/>
      <c r="D3236" s="32"/>
      <c r="E3236" s="33"/>
      <c r="F3236" s="43" t="s">
        <v>572</v>
      </c>
      <c r="G3236" s="34" t="str">
        <f t="shared" si="56"/>
        <v/>
      </c>
      <c r="H3236" s="35"/>
      <c r="I3236" s="31"/>
      <c r="J3236" s="156">
        <v>0</v>
      </c>
    </row>
    <row r="3237" spans="1:10" ht="15.75" hidden="1" thickBot="1" x14ac:dyDescent="0.3">
      <c r="A3237" s="222"/>
      <c r="B3237" s="225"/>
      <c r="C3237" s="36" t="s">
        <v>1030</v>
      </c>
      <c r="D3237" s="36" t="s">
        <v>94</v>
      </c>
      <c r="E3237" s="37">
        <v>1.0149999999999999</v>
      </c>
      <c r="F3237" s="31">
        <v>0</v>
      </c>
      <c r="G3237" s="34">
        <f t="shared" si="56"/>
        <v>0</v>
      </c>
      <c r="H3237" s="39">
        <f>SUM(G3237:G3240)</f>
        <v>2.9229504999999998</v>
      </c>
      <c r="I3237" s="40"/>
      <c r="J3237" s="156">
        <v>0</v>
      </c>
    </row>
    <row r="3238" spans="1:10" ht="15.75" hidden="1" thickBot="1" x14ac:dyDescent="0.3">
      <c r="A3238" s="222"/>
      <c r="B3238" s="225"/>
      <c r="C3238" s="36" t="s">
        <v>607</v>
      </c>
      <c r="D3238" s="47" t="s">
        <v>299</v>
      </c>
      <c r="E3238" s="37">
        <v>8.9999999999999993E-3</v>
      </c>
      <c r="F3238" s="31">
        <v>3.2965</v>
      </c>
      <c r="G3238" s="34">
        <f t="shared" si="56"/>
        <v>2.9668499999999997E-2</v>
      </c>
      <c r="H3238" s="35"/>
      <c r="I3238" s="31"/>
      <c r="J3238" s="156">
        <v>0</v>
      </c>
    </row>
    <row r="3239" spans="1:10" ht="15.75" hidden="1" thickBot="1" x14ac:dyDescent="0.3">
      <c r="A3239" s="222"/>
      <c r="B3239" s="225"/>
      <c r="C3239" s="36" t="s">
        <v>74</v>
      </c>
      <c r="D3239" s="36" t="s">
        <v>12</v>
      </c>
      <c r="E3239" s="37">
        <v>7.2999999999999995E-2</v>
      </c>
      <c r="F3239" s="31">
        <v>17.366</v>
      </c>
      <c r="G3239" s="34">
        <f t="shared" si="56"/>
        <v>1.2677179999999999</v>
      </c>
      <c r="H3239" s="35"/>
      <c r="I3239" s="31"/>
      <c r="J3239" s="156">
        <v>0</v>
      </c>
    </row>
    <row r="3240" spans="1:10" ht="15.75" hidden="1" thickBot="1" x14ac:dyDescent="0.3">
      <c r="A3240" s="222"/>
      <c r="B3240" s="225"/>
      <c r="C3240" s="36" t="s">
        <v>30</v>
      </c>
      <c r="D3240" s="36" t="s">
        <v>12</v>
      </c>
      <c r="E3240" s="37">
        <v>7.2999999999999995E-2</v>
      </c>
      <c r="F3240" s="31">
        <v>22.268000000000001</v>
      </c>
      <c r="G3240" s="34">
        <f t="shared" si="56"/>
        <v>1.625564</v>
      </c>
      <c r="H3240" s="35"/>
      <c r="I3240" s="31"/>
      <c r="J3240" s="156">
        <v>0</v>
      </c>
    </row>
    <row r="3241" spans="1:10" ht="15.75" hidden="1" thickBot="1" x14ac:dyDescent="0.3">
      <c r="A3241" s="223"/>
      <c r="B3241" s="226"/>
      <c r="C3241" s="36"/>
      <c r="D3241" s="36"/>
      <c r="E3241" s="37"/>
      <c r="F3241" s="31" t="s">
        <v>572</v>
      </c>
      <c r="G3241" s="34" t="str">
        <f t="shared" si="56"/>
        <v/>
      </c>
      <c r="H3241" s="35"/>
      <c r="I3241" s="31"/>
      <c r="J3241" s="156">
        <v>0</v>
      </c>
    </row>
    <row r="3242" spans="1:10" ht="15.75" hidden="1" thickBot="1" x14ac:dyDescent="0.3">
      <c r="A3242" s="221" t="s">
        <v>1031</v>
      </c>
      <c r="B3242" s="224" t="str">
        <f>INDEX(Orçamentária!A:B,MATCH(Composições!A3242,Orçamentária!A:A,0),2)</f>
        <v>Condutor 50mm²</v>
      </c>
      <c r="C3242" s="41"/>
      <c r="D3242" s="26" t="str">
        <f>TRIM(INDEX(Orçamentária!C:C,MATCH(Composições!A3242,Orçamentária!A:A,0),1))</f>
        <v>m</v>
      </c>
      <c r="E3242" s="27"/>
      <c r="F3242" s="42" t="s">
        <v>572</v>
      </c>
      <c r="G3242" s="28" t="str">
        <f t="shared" si="56"/>
        <v/>
      </c>
      <c r="H3242" s="29"/>
      <c r="I3242" s="30"/>
      <c r="J3242" s="156">
        <v>0</v>
      </c>
    </row>
    <row r="3243" spans="1:10" ht="15.75" hidden="1" thickBot="1" x14ac:dyDescent="0.3">
      <c r="A3243" s="222"/>
      <c r="B3243" s="225"/>
      <c r="C3243" s="32"/>
      <c r="D3243" s="32"/>
      <c r="E3243" s="33"/>
      <c r="F3243" s="43" t="s">
        <v>572</v>
      </c>
      <c r="G3243" s="34" t="str">
        <f t="shared" si="56"/>
        <v/>
      </c>
      <c r="H3243" s="35"/>
      <c r="I3243" s="31"/>
      <c r="J3243" s="156">
        <v>0</v>
      </c>
    </row>
    <row r="3244" spans="1:10" ht="15.75" hidden="1" thickBot="1" x14ac:dyDescent="0.3">
      <c r="A3244" s="222"/>
      <c r="B3244" s="225"/>
      <c r="C3244" s="36" t="s">
        <v>1032</v>
      </c>
      <c r="D3244" s="36" t="s">
        <v>94</v>
      </c>
      <c r="E3244" s="37">
        <v>1.0149999999999999</v>
      </c>
      <c r="F3244" s="31">
        <v>0</v>
      </c>
      <c r="G3244" s="34">
        <f t="shared" si="56"/>
        <v>0</v>
      </c>
      <c r="H3244" s="39">
        <f>SUM(G3244:G3247)</f>
        <v>3.4778264999999999</v>
      </c>
      <c r="I3244" s="40"/>
      <c r="J3244" s="156">
        <v>0</v>
      </c>
    </row>
    <row r="3245" spans="1:10" ht="15.75" hidden="1" thickBot="1" x14ac:dyDescent="0.3">
      <c r="A3245" s="222"/>
      <c r="B3245" s="225"/>
      <c r="C3245" s="36" t="s">
        <v>607</v>
      </c>
      <c r="D3245" s="47" t="s">
        <v>299</v>
      </c>
      <c r="E3245" s="37">
        <v>8.9999999999999993E-3</v>
      </c>
      <c r="F3245" s="31">
        <v>3.2965</v>
      </c>
      <c r="G3245" s="34">
        <f t="shared" si="56"/>
        <v>2.9668499999999997E-2</v>
      </c>
      <c r="H3245" s="35"/>
      <c r="I3245" s="31"/>
      <c r="J3245" s="156">
        <v>0</v>
      </c>
    </row>
    <row r="3246" spans="1:10" ht="15.75" hidden="1" thickBot="1" x14ac:dyDescent="0.3">
      <c r="A3246" s="222"/>
      <c r="B3246" s="225"/>
      <c r="C3246" s="36" t="s">
        <v>74</v>
      </c>
      <c r="D3246" s="36" t="s">
        <v>12</v>
      </c>
      <c r="E3246" s="37">
        <v>8.6999999999999994E-2</v>
      </c>
      <c r="F3246" s="31">
        <v>17.366</v>
      </c>
      <c r="G3246" s="34">
        <f t="shared" si="56"/>
        <v>1.5108419999999998</v>
      </c>
      <c r="H3246" s="35"/>
      <c r="I3246" s="31"/>
      <c r="J3246" s="156">
        <v>0</v>
      </c>
    </row>
    <row r="3247" spans="1:10" ht="15.75" hidden="1" thickBot="1" x14ac:dyDescent="0.3">
      <c r="A3247" s="222"/>
      <c r="B3247" s="225"/>
      <c r="C3247" s="36" t="s">
        <v>30</v>
      </c>
      <c r="D3247" s="36" t="s">
        <v>12</v>
      </c>
      <c r="E3247" s="37">
        <v>8.6999999999999994E-2</v>
      </c>
      <c r="F3247" s="31">
        <v>22.268000000000001</v>
      </c>
      <c r="G3247" s="34">
        <f t="shared" si="56"/>
        <v>1.9373159999999998</v>
      </c>
      <c r="H3247" s="35"/>
      <c r="I3247" s="31"/>
      <c r="J3247" s="156">
        <v>0</v>
      </c>
    </row>
    <row r="3248" spans="1:10" ht="15.75" hidden="1" thickBot="1" x14ac:dyDescent="0.3">
      <c r="A3248" s="223"/>
      <c r="B3248" s="226"/>
      <c r="C3248" s="36"/>
      <c r="D3248" s="36"/>
      <c r="E3248" s="37"/>
      <c r="F3248" s="31" t="s">
        <v>572</v>
      </c>
      <c r="G3248" s="34" t="str">
        <f t="shared" si="56"/>
        <v/>
      </c>
      <c r="H3248" s="35"/>
      <c r="I3248" s="31"/>
      <c r="J3248" s="156">
        <v>0</v>
      </c>
    </row>
    <row r="3249" spans="1:10" ht="15.75" hidden="1" thickBot="1" x14ac:dyDescent="0.3">
      <c r="A3249" s="221" t="s">
        <v>1033</v>
      </c>
      <c r="B3249" s="224" t="str">
        <f>INDEX(Orçamentária!A:B,MATCH(Composições!A3249,Orçamentária!A:A,0),2)</f>
        <v>Condutor 70mm²</v>
      </c>
      <c r="C3249" s="41"/>
      <c r="D3249" s="26" t="str">
        <f>TRIM(INDEX(Orçamentária!C:C,MATCH(Composições!A3249,Orçamentária!A:A,0),1))</f>
        <v>m</v>
      </c>
      <c r="E3249" s="27"/>
      <c r="F3249" s="42" t="s">
        <v>572</v>
      </c>
      <c r="G3249" s="28" t="str">
        <f t="shared" si="56"/>
        <v/>
      </c>
      <c r="H3249" s="29"/>
      <c r="I3249" s="30"/>
      <c r="J3249" s="156">
        <v>0</v>
      </c>
    </row>
    <row r="3250" spans="1:10" ht="15.75" hidden="1" thickBot="1" x14ac:dyDescent="0.3">
      <c r="A3250" s="222"/>
      <c r="B3250" s="225"/>
      <c r="C3250" s="32"/>
      <c r="D3250" s="32"/>
      <c r="E3250" s="33"/>
      <c r="F3250" s="43" t="s">
        <v>572</v>
      </c>
      <c r="G3250" s="34" t="str">
        <f t="shared" si="56"/>
        <v/>
      </c>
      <c r="H3250" s="35"/>
      <c r="I3250" s="31"/>
      <c r="J3250" s="156">
        <v>0</v>
      </c>
    </row>
    <row r="3251" spans="1:10" ht="15.75" hidden="1" thickBot="1" x14ac:dyDescent="0.3">
      <c r="A3251" s="222"/>
      <c r="B3251" s="225"/>
      <c r="C3251" s="36" t="s">
        <v>1034</v>
      </c>
      <c r="D3251" s="36" t="s">
        <v>94</v>
      </c>
      <c r="E3251" s="37">
        <v>1.0149999999999999</v>
      </c>
      <c r="F3251" s="31">
        <v>0</v>
      </c>
      <c r="G3251" s="34">
        <f t="shared" si="56"/>
        <v>0</v>
      </c>
      <c r="H3251" s="39">
        <f>SUM(G3251:G3254)</f>
        <v>4.1912384999999999</v>
      </c>
      <c r="I3251" s="40"/>
      <c r="J3251" s="156">
        <v>0</v>
      </c>
    </row>
    <row r="3252" spans="1:10" ht="15.75" hidden="1" thickBot="1" x14ac:dyDescent="0.3">
      <c r="A3252" s="222"/>
      <c r="B3252" s="225"/>
      <c r="C3252" s="36" t="s">
        <v>607</v>
      </c>
      <c r="D3252" s="47" t="s">
        <v>299</v>
      </c>
      <c r="E3252" s="37">
        <v>8.9999999999999993E-3</v>
      </c>
      <c r="F3252" s="31">
        <v>3.2965</v>
      </c>
      <c r="G3252" s="34">
        <f t="shared" si="56"/>
        <v>2.9668499999999997E-2</v>
      </c>
      <c r="H3252" s="35"/>
      <c r="I3252" s="31"/>
      <c r="J3252" s="156">
        <v>0</v>
      </c>
    </row>
    <row r="3253" spans="1:10" ht="15.75" hidden="1" thickBot="1" x14ac:dyDescent="0.3">
      <c r="A3253" s="222"/>
      <c r="B3253" s="225"/>
      <c r="C3253" s="36" t="s">
        <v>74</v>
      </c>
      <c r="D3253" s="36" t="s">
        <v>12</v>
      </c>
      <c r="E3253" s="37">
        <v>0.105</v>
      </c>
      <c r="F3253" s="31">
        <v>17.366</v>
      </c>
      <c r="G3253" s="34">
        <f t="shared" si="56"/>
        <v>1.8234299999999999</v>
      </c>
      <c r="H3253" s="35"/>
      <c r="I3253" s="31"/>
      <c r="J3253" s="156">
        <v>0</v>
      </c>
    </row>
    <row r="3254" spans="1:10" ht="15.75" hidden="1" thickBot="1" x14ac:dyDescent="0.3">
      <c r="A3254" s="222"/>
      <c r="B3254" s="225"/>
      <c r="C3254" s="36" t="s">
        <v>30</v>
      </c>
      <c r="D3254" s="36" t="s">
        <v>12</v>
      </c>
      <c r="E3254" s="37">
        <v>0.105</v>
      </c>
      <c r="F3254" s="31">
        <v>22.268000000000001</v>
      </c>
      <c r="G3254" s="34">
        <f t="shared" si="56"/>
        <v>2.3381400000000001</v>
      </c>
      <c r="H3254" s="35"/>
      <c r="I3254" s="31"/>
      <c r="J3254" s="156">
        <v>0</v>
      </c>
    </row>
    <row r="3255" spans="1:10" ht="15.75" hidden="1" thickBot="1" x14ac:dyDescent="0.3">
      <c r="A3255" s="223"/>
      <c r="B3255" s="226"/>
      <c r="C3255" s="36"/>
      <c r="D3255" s="36"/>
      <c r="E3255" s="37"/>
      <c r="F3255" s="31" t="s">
        <v>572</v>
      </c>
      <c r="G3255" s="34" t="str">
        <f t="shared" si="56"/>
        <v/>
      </c>
      <c r="H3255" s="35"/>
      <c r="I3255" s="31"/>
      <c r="J3255" s="156">
        <v>0</v>
      </c>
    </row>
    <row r="3256" spans="1:10" ht="15.75" hidden="1" thickBot="1" x14ac:dyDescent="0.3">
      <c r="A3256" s="221" t="s">
        <v>1035</v>
      </c>
      <c r="B3256" s="224" t="str">
        <f>INDEX(Orçamentária!A:B,MATCH(Composições!A3256,Orçamentária!A:A,0),2)</f>
        <v>Condutor 95mm²</v>
      </c>
      <c r="C3256" s="41"/>
      <c r="D3256" s="26" t="str">
        <f>TRIM(INDEX(Orçamentária!C:C,MATCH(Composições!A3256,Orçamentária!A:A,0),1))</f>
        <v>m</v>
      </c>
      <c r="E3256" s="27"/>
      <c r="F3256" s="42" t="s">
        <v>572</v>
      </c>
      <c r="G3256" s="28" t="str">
        <f t="shared" si="56"/>
        <v/>
      </c>
      <c r="H3256" s="29"/>
      <c r="I3256" s="30"/>
      <c r="J3256" s="156">
        <v>0</v>
      </c>
    </row>
    <row r="3257" spans="1:10" ht="15.75" hidden="1" thickBot="1" x14ac:dyDescent="0.3">
      <c r="A3257" s="222"/>
      <c r="B3257" s="225"/>
      <c r="C3257" s="32"/>
      <c r="D3257" s="32"/>
      <c r="E3257" s="33"/>
      <c r="F3257" s="43" t="s">
        <v>572</v>
      </c>
      <c r="G3257" s="34" t="str">
        <f t="shared" si="56"/>
        <v/>
      </c>
      <c r="H3257" s="35"/>
      <c r="I3257" s="31"/>
      <c r="J3257" s="156">
        <v>0</v>
      </c>
    </row>
    <row r="3258" spans="1:10" ht="15.75" hidden="1" thickBot="1" x14ac:dyDescent="0.3">
      <c r="A3258" s="222"/>
      <c r="B3258" s="225"/>
      <c r="C3258" s="36" t="s">
        <v>1036</v>
      </c>
      <c r="D3258" s="36" t="s">
        <v>94</v>
      </c>
      <c r="E3258" s="37">
        <v>1.0149999999999999</v>
      </c>
      <c r="F3258" s="31">
        <v>0</v>
      </c>
      <c r="G3258" s="34">
        <f t="shared" si="56"/>
        <v>0</v>
      </c>
      <c r="H3258" s="39">
        <f>SUM(G3258:G3261)</f>
        <v>5.1028205</v>
      </c>
      <c r="I3258" s="40"/>
      <c r="J3258" s="156">
        <v>0</v>
      </c>
    </row>
    <row r="3259" spans="1:10" ht="15.75" hidden="1" thickBot="1" x14ac:dyDescent="0.3">
      <c r="A3259" s="222"/>
      <c r="B3259" s="225"/>
      <c r="C3259" s="36" t="s">
        <v>607</v>
      </c>
      <c r="D3259" s="47" t="s">
        <v>299</v>
      </c>
      <c r="E3259" s="37">
        <v>8.9999999999999993E-3</v>
      </c>
      <c r="F3259" s="31">
        <v>3.2965</v>
      </c>
      <c r="G3259" s="34">
        <f t="shared" si="56"/>
        <v>2.9668499999999997E-2</v>
      </c>
      <c r="H3259" s="35"/>
      <c r="I3259" s="31"/>
      <c r="J3259" s="156">
        <v>0</v>
      </c>
    </row>
    <row r="3260" spans="1:10" ht="15.75" hidden="1" thickBot="1" x14ac:dyDescent="0.3">
      <c r="A3260" s="222"/>
      <c r="B3260" s="225"/>
      <c r="C3260" s="36" t="s">
        <v>74</v>
      </c>
      <c r="D3260" s="36" t="s">
        <v>12</v>
      </c>
      <c r="E3260" s="37">
        <v>0.128</v>
      </c>
      <c r="F3260" s="31">
        <v>17.366</v>
      </c>
      <c r="G3260" s="34">
        <f t="shared" si="56"/>
        <v>2.2228479999999999</v>
      </c>
      <c r="H3260" s="35"/>
      <c r="I3260" s="31"/>
      <c r="J3260" s="156">
        <v>0</v>
      </c>
    </row>
    <row r="3261" spans="1:10" ht="15.75" hidden="1" thickBot="1" x14ac:dyDescent="0.3">
      <c r="A3261" s="222"/>
      <c r="B3261" s="225"/>
      <c r="C3261" s="36" t="s">
        <v>30</v>
      </c>
      <c r="D3261" s="36" t="s">
        <v>12</v>
      </c>
      <c r="E3261" s="37">
        <v>0.128</v>
      </c>
      <c r="F3261" s="31">
        <v>22.268000000000001</v>
      </c>
      <c r="G3261" s="34">
        <f t="shared" si="56"/>
        <v>2.8503039999999999</v>
      </c>
      <c r="H3261" s="35"/>
      <c r="I3261" s="31"/>
      <c r="J3261" s="156">
        <v>0</v>
      </c>
    </row>
    <row r="3262" spans="1:10" ht="15.75" hidden="1" thickBot="1" x14ac:dyDescent="0.3">
      <c r="A3262" s="223"/>
      <c r="B3262" s="226"/>
      <c r="C3262" s="36"/>
      <c r="D3262" s="36"/>
      <c r="E3262" s="37"/>
      <c r="F3262" s="31" t="s">
        <v>572</v>
      </c>
      <c r="G3262" s="34" t="str">
        <f t="shared" si="56"/>
        <v/>
      </c>
      <c r="H3262" s="35"/>
      <c r="I3262" s="31"/>
      <c r="J3262" s="156">
        <v>0</v>
      </c>
    </row>
    <row r="3263" spans="1:10" ht="15.75" hidden="1" thickBot="1" x14ac:dyDescent="0.3">
      <c r="A3263" s="221" t="s">
        <v>1037</v>
      </c>
      <c r="B3263" s="224" t="str">
        <f>INDEX(Orçamentária!A:B,MATCH(Composições!A3263,Orçamentária!A:A,0),2)</f>
        <v>Condutor 120mm²</v>
      </c>
      <c r="C3263" s="41"/>
      <c r="D3263" s="26" t="str">
        <f>TRIM(INDEX(Orçamentária!C:C,MATCH(Composições!A3263,Orçamentária!A:A,0),1))</f>
        <v>m</v>
      </c>
      <c r="E3263" s="27"/>
      <c r="F3263" s="42" t="s">
        <v>572</v>
      </c>
      <c r="G3263" s="28" t="str">
        <f t="shared" si="56"/>
        <v/>
      </c>
      <c r="H3263" s="29"/>
      <c r="I3263" s="30"/>
      <c r="J3263" s="156">
        <v>0</v>
      </c>
    </row>
    <row r="3264" spans="1:10" ht="15.75" hidden="1" thickBot="1" x14ac:dyDescent="0.3">
      <c r="A3264" s="222"/>
      <c r="B3264" s="225"/>
      <c r="C3264" s="32"/>
      <c r="D3264" s="32"/>
      <c r="E3264" s="33"/>
      <c r="F3264" s="43" t="s">
        <v>572</v>
      </c>
      <c r="G3264" s="34" t="str">
        <f t="shared" si="56"/>
        <v/>
      </c>
      <c r="H3264" s="35"/>
      <c r="I3264" s="31"/>
      <c r="J3264" s="156">
        <v>0</v>
      </c>
    </row>
    <row r="3265" spans="1:10" ht="15.75" hidden="1" thickBot="1" x14ac:dyDescent="0.3">
      <c r="A3265" s="222"/>
      <c r="B3265" s="225"/>
      <c r="C3265" s="36" t="s">
        <v>1038</v>
      </c>
      <c r="D3265" s="36" t="s">
        <v>94</v>
      </c>
      <c r="E3265" s="37">
        <v>1.0149999999999999</v>
      </c>
      <c r="F3265" s="31">
        <v>0</v>
      </c>
      <c r="G3265" s="34">
        <f t="shared" si="56"/>
        <v>0</v>
      </c>
      <c r="H3265" s="39">
        <f>SUM(G3265:G3268)</f>
        <v>6.0540365000000005</v>
      </c>
      <c r="I3265" s="40"/>
      <c r="J3265" s="156">
        <v>0</v>
      </c>
    </row>
    <row r="3266" spans="1:10" ht="15.75" hidden="1" thickBot="1" x14ac:dyDescent="0.3">
      <c r="A3266" s="222"/>
      <c r="B3266" s="225"/>
      <c r="C3266" s="36" t="s">
        <v>607</v>
      </c>
      <c r="D3266" s="47" t="s">
        <v>299</v>
      </c>
      <c r="E3266" s="37">
        <v>8.9999999999999993E-3</v>
      </c>
      <c r="F3266" s="31">
        <v>3.2965</v>
      </c>
      <c r="G3266" s="34">
        <f t="shared" si="56"/>
        <v>2.9668499999999997E-2</v>
      </c>
      <c r="H3266" s="35"/>
      <c r="I3266" s="31"/>
      <c r="J3266" s="156">
        <v>0</v>
      </c>
    </row>
    <row r="3267" spans="1:10" ht="15.75" hidden="1" thickBot="1" x14ac:dyDescent="0.3">
      <c r="A3267" s="222"/>
      <c r="B3267" s="225"/>
      <c r="C3267" s="36" t="s">
        <v>74</v>
      </c>
      <c r="D3267" s="36" t="s">
        <v>12</v>
      </c>
      <c r="E3267" s="37">
        <v>0.152</v>
      </c>
      <c r="F3267" s="31">
        <v>17.366</v>
      </c>
      <c r="G3267" s="34">
        <f t="shared" si="56"/>
        <v>2.6396319999999998</v>
      </c>
      <c r="H3267" s="35"/>
      <c r="I3267" s="31"/>
      <c r="J3267" s="156">
        <v>0</v>
      </c>
    </row>
    <row r="3268" spans="1:10" ht="15.75" hidden="1" thickBot="1" x14ac:dyDescent="0.3">
      <c r="A3268" s="222"/>
      <c r="B3268" s="225"/>
      <c r="C3268" s="36" t="s">
        <v>30</v>
      </c>
      <c r="D3268" s="36" t="s">
        <v>12</v>
      </c>
      <c r="E3268" s="37">
        <v>0.152</v>
      </c>
      <c r="F3268" s="31">
        <v>22.268000000000001</v>
      </c>
      <c r="G3268" s="34">
        <f t="shared" si="56"/>
        <v>3.3847360000000002</v>
      </c>
      <c r="H3268" s="35"/>
      <c r="I3268" s="31"/>
      <c r="J3268" s="156">
        <v>0</v>
      </c>
    </row>
    <row r="3269" spans="1:10" ht="15.75" hidden="1" thickBot="1" x14ac:dyDescent="0.3">
      <c r="A3269" s="223"/>
      <c r="B3269" s="226"/>
      <c r="C3269" s="36"/>
      <c r="D3269" s="36"/>
      <c r="E3269" s="37"/>
      <c r="F3269" s="31" t="s">
        <v>572</v>
      </c>
      <c r="G3269" s="34" t="str">
        <f t="shared" si="56"/>
        <v/>
      </c>
      <c r="H3269" s="35"/>
      <c r="I3269" s="31"/>
      <c r="J3269" s="156">
        <v>0</v>
      </c>
    </row>
    <row r="3270" spans="1:10" ht="15.75" hidden="1" thickBot="1" x14ac:dyDescent="0.3">
      <c r="A3270" s="221" t="s">
        <v>1039</v>
      </c>
      <c r="B3270" s="224" t="str">
        <f>INDEX(Orçamentária!A:B,MATCH(Composições!A3270,Orçamentária!A:A,0),2)</f>
        <v>Condutor 150mm²</v>
      </c>
      <c r="C3270" s="41"/>
      <c r="D3270" s="26" t="str">
        <f>TRIM(INDEX(Orçamentária!C:C,MATCH(Composições!A3270,Orçamentária!A:A,0),1))</f>
        <v>m</v>
      </c>
      <c r="E3270" s="27"/>
      <c r="F3270" s="42" t="s">
        <v>572</v>
      </c>
      <c r="G3270" s="28" t="str">
        <f t="shared" si="56"/>
        <v/>
      </c>
      <c r="H3270" s="29"/>
      <c r="I3270" s="30"/>
      <c r="J3270" s="156">
        <v>0</v>
      </c>
    </row>
    <row r="3271" spans="1:10" ht="15.75" hidden="1" thickBot="1" x14ac:dyDescent="0.3">
      <c r="A3271" s="222"/>
      <c r="B3271" s="225"/>
      <c r="C3271" s="32"/>
      <c r="D3271" s="32"/>
      <c r="E3271" s="33"/>
      <c r="F3271" s="43" t="s">
        <v>572</v>
      </c>
      <c r="G3271" s="34" t="str">
        <f t="shared" si="56"/>
        <v/>
      </c>
      <c r="H3271" s="35"/>
      <c r="I3271" s="31"/>
      <c r="J3271" s="156">
        <v>0</v>
      </c>
    </row>
    <row r="3272" spans="1:10" ht="15.75" hidden="1" thickBot="1" x14ac:dyDescent="0.3">
      <c r="A3272" s="222"/>
      <c r="B3272" s="225"/>
      <c r="C3272" s="36" t="s">
        <v>1040</v>
      </c>
      <c r="D3272" s="36" t="s">
        <v>94</v>
      </c>
      <c r="E3272" s="37">
        <v>1.0149999999999999</v>
      </c>
      <c r="F3272" s="31">
        <v>0</v>
      </c>
      <c r="G3272" s="34">
        <f t="shared" si="56"/>
        <v>0</v>
      </c>
      <c r="H3272" s="39">
        <f>SUM(G3272:G3275)</f>
        <v>7.1241544999999995</v>
      </c>
      <c r="I3272" s="40"/>
      <c r="J3272" s="156">
        <v>0</v>
      </c>
    </row>
    <row r="3273" spans="1:10" ht="15.75" hidden="1" thickBot="1" x14ac:dyDescent="0.3">
      <c r="A3273" s="222"/>
      <c r="B3273" s="225"/>
      <c r="C3273" s="36" t="s">
        <v>607</v>
      </c>
      <c r="D3273" s="47" t="s">
        <v>299</v>
      </c>
      <c r="E3273" s="37">
        <v>8.9999999999999993E-3</v>
      </c>
      <c r="F3273" s="31">
        <v>3.2965</v>
      </c>
      <c r="G3273" s="34">
        <f t="shared" si="56"/>
        <v>2.9668499999999997E-2</v>
      </c>
      <c r="H3273" s="35"/>
      <c r="I3273" s="31"/>
      <c r="J3273" s="156">
        <v>0</v>
      </c>
    </row>
    <row r="3274" spans="1:10" ht="15.75" hidden="1" thickBot="1" x14ac:dyDescent="0.3">
      <c r="A3274" s="222"/>
      <c r="B3274" s="225"/>
      <c r="C3274" s="36" t="s">
        <v>74</v>
      </c>
      <c r="D3274" s="36" t="s">
        <v>12</v>
      </c>
      <c r="E3274" s="37">
        <v>0.17899999999999999</v>
      </c>
      <c r="F3274" s="31">
        <v>17.366</v>
      </c>
      <c r="G3274" s="34">
        <f t="shared" si="56"/>
        <v>3.108514</v>
      </c>
      <c r="H3274" s="35"/>
      <c r="I3274" s="31"/>
      <c r="J3274" s="156">
        <v>0</v>
      </c>
    </row>
    <row r="3275" spans="1:10" ht="15.75" hidden="1" thickBot="1" x14ac:dyDescent="0.3">
      <c r="A3275" s="222"/>
      <c r="B3275" s="225"/>
      <c r="C3275" s="36" t="s">
        <v>30</v>
      </c>
      <c r="D3275" s="36" t="s">
        <v>12</v>
      </c>
      <c r="E3275" s="37">
        <v>0.17899999999999999</v>
      </c>
      <c r="F3275" s="31">
        <v>22.268000000000001</v>
      </c>
      <c r="G3275" s="34">
        <f t="shared" si="56"/>
        <v>3.9859719999999998</v>
      </c>
      <c r="H3275" s="35"/>
      <c r="I3275" s="31"/>
      <c r="J3275" s="156">
        <v>0</v>
      </c>
    </row>
    <row r="3276" spans="1:10" ht="15.75" hidden="1" thickBot="1" x14ac:dyDescent="0.3">
      <c r="A3276" s="223"/>
      <c r="B3276" s="226"/>
      <c r="C3276" s="36"/>
      <c r="D3276" s="36"/>
      <c r="E3276" s="37"/>
      <c r="F3276" s="31" t="s">
        <v>572</v>
      </c>
      <c r="G3276" s="34" t="str">
        <f t="shared" si="56"/>
        <v/>
      </c>
      <c r="H3276" s="35"/>
      <c r="I3276" s="31"/>
      <c r="J3276" s="156">
        <v>0</v>
      </c>
    </row>
    <row r="3277" spans="1:10" ht="15.75" hidden="1" thickBot="1" x14ac:dyDescent="0.3">
      <c r="A3277" s="221" t="s">
        <v>1041</v>
      </c>
      <c r="B3277" s="224" t="str">
        <f>INDEX(Orçamentária!A:B,MATCH(Composições!A3277,Orçamentária!A:A,0),2)</f>
        <v>Condutor 185mm²</v>
      </c>
      <c r="C3277" s="41"/>
      <c r="D3277" s="26" t="str">
        <f>TRIM(INDEX(Orçamentária!C:C,MATCH(Composições!A3277,Orçamentária!A:A,0),1))</f>
        <v>m</v>
      </c>
      <c r="E3277" s="27"/>
      <c r="F3277" s="42" t="s">
        <v>572</v>
      </c>
      <c r="G3277" s="28" t="str">
        <f t="shared" si="56"/>
        <v/>
      </c>
      <c r="H3277" s="29"/>
      <c r="I3277" s="30"/>
      <c r="J3277" s="156">
        <v>0</v>
      </c>
    </row>
    <row r="3278" spans="1:10" ht="15.75" hidden="1" thickBot="1" x14ac:dyDescent="0.3">
      <c r="A3278" s="222"/>
      <c r="B3278" s="225"/>
      <c r="C3278" s="32"/>
      <c r="D3278" s="32"/>
      <c r="E3278" s="33"/>
      <c r="F3278" s="43" t="s">
        <v>572</v>
      </c>
      <c r="G3278" s="34" t="str">
        <f t="shared" si="56"/>
        <v/>
      </c>
      <c r="H3278" s="35"/>
      <c r="I3278" s="31"/>
      <c r="J3278" s="156">
        <v>0</v>
      </c>
    </row>
    <row r="3279" spans="1:10" ht="15.75" hidden="1" thickBot="1" x14ac:dyDescent="0.3">
      <c r="A3279" s="222"/>
      <c r="B3279" s="225"/>
      <c r="C3279" s="36" t="s">
        <v>1042</v>
      </c>
      <c r="D3279" s="36" t="s">
        <v>94</v>
      </c>
      <c r="E3279" s="37">
        <v>1.0149999999999999</v>
      </c>
      <c r="F3279" s="31">
        <v>0</v>
      </c>
      <c r="G3279" s="34">
        <f t="shared" si="56"/>
        <v>0</v>
      </c>
      <c r="H3279" s="39">
        <f>SUM(G3279:G3282)</f>
        <v>8.4320765000000009</v>
      </c>
      <c r="I3279" s="40"/>
      <c r="J3279" s="156">
        <v>0</v>
      </c>
    </row>
    <row r="3280" spans="1:10" ht="15.75" hidden="1" thickBot="1" x14ac:dyDescent="0.3">
      <c r="A3280" s="222"/>
      <c r="B3280" s="225"/>
      <c r="C3280" s="36" t="s">
        <v>607</v>
      </c>
      <c r="D3280" s="47" t="s">
        <v>299</v>
      </c>
      <c r="E3280" s="37">
        <v>8.9999999999999993E-3</v>
      </c>
      <c r="F3280" s="31">
        <v>3.2965</v>
      </c>
      <c r="G3280" s="34">
        <f t="shared" si="56"/>
        <v>2.9668499999999997E-2</v>
      </c>
      <c r="H3280" s="35"/>
      <c r="I3280" s="31"/>
      <c r="J3280" s="156">
        <v>0</v>
      </c>
    </row>
    <row r="3281" spans="1:10" ht="15.75" hidden="1" thickBot="1" x14ac:dyDescent="0.3">
      <c r="A3281" s="222"/>
      <c r="B3281" s="225"/>
      <c r="C3281" s="36" t="s">
        <v>74</v>
      </c>
      <c r="D3281" s="36" t="s">
        <v>12</v>
      </c>
      <c r="E3281" s="37">
        <v>0.21199999999999999</v>
      </c>
      <c r="F3281" s="31">
        <v>17.366</v>
      </c>
      <c r="G3281" s="34">
        <f t="shared" si="56"/>
        <v>3.6815919999999998</v>
      </c>
      <c r="H3281" s="35"/>
      <c r="I3281" s="31"/>
      <c r="J3281" s="156">
        <v>0</v>
      </c>
    </row>
    <row r="3282" spans="1:10" ht="15.75" hidden="1" thickBot="1" x14ac:dyDescent="0.3">
      <c r="A3282" s="222"/>
      <c r="B3282" s="225"/>
      <c r="C3282" s="36" t="s">
        <v>30</v>
      </c>
      <c r="D3282" s="36" t="s">
        <v>12</v>
      </c>
      <c r="E3282" s="37">
        <v>0.21199999999999999</v>
      </c>
      <c r="F3282" s="31">
        <v>22.268000000000001</v>
      </c>
      <c r="G3282" s="34">
        <f t="shared" ref="G3282:G3345" si="57">IF(ISNUMBER(F3282),E3282*F3282,"")</f>
        <v>4.7208160000000001</v>
      </c>
      <c r="H3282" s="35"/>
      <c r="I3282" s="31"/>
      <c r="J3282" s="156">
        <v>0</v>
      </c>
    </row>
    <row r="3283" spans="1:10" ht="15.75" hidden="1" thickBot="1" x14ac:dyDescent="0.3">
      <c r="A3283" s="223"/>
      <c r="B3283" s="226"/>
      <c r="C3283" s="36"/>
      <c r="D3283" s="36"/>
      <c r="E3283" s="37"/>
      <c r="F3283" s="31" t="s">
        <v>572</v>
      </c>
      <c r="G3283" s="34" t="str">
        <f t="shared" si="57"/>
        <v/>
      </c>
      <c r="H3283" s="35"/>
      <c r="I3283" s="31"/>
      <c r="J3283" s="156">
        <v>0</v>
      </c>
    </row>
    <row r="3284" spans="1:10" ht="15.75" hidden="1" thickBot="1" x14ac:dyDescent="0.3">
      <c r="A3284" s="221" t="s">
        <v>1043</v>
      </c>
      <c r="B3284" s="224" t="str">
        <f>INDEX(Orçamentária!A:B,MATCH(Composições!A3284,Orçamentária!A:A,0),2)</f>
        <v>Condutor 240mm²</v>
      </c>
      <c r="C3284" s="41"/>
      <c r="D3284" s="26" t="str">
        <f>TRIM(INDEX(Orçamentária!C:C,MATCH(Composições!A3284,Orçamentária!A:A,0),1))</f>
        <v>m</v>
      </c>
      <c r="E3284" s="27"/>
      <c r="F3284" s="42" t="s">
        <v>572</v>
      </c>
      <c r="G3284" s="28" t="str">
        <f t="shared" si="57"/>
        <v/>
      </c>
      <c r="H3284" s="29"/>
      <c r="I3284" s="30"/>
      <c r="J3284" s="156">
        <v>0</v>
      </c>
    </row>
    <row r="3285" spans="1:10" ht="15.75" hidden="1" thickBot="1" x14ac:dyDescent="0.3">
      <c r="A3285" s="222"/>
      <c r="B3285" s="225"/>
      <c r="C3285" s="32"/>
      <c r="D3285" s="32"/>
      <c r="E3285" s="33"/>
      <c r="F3285" s="43" t="s">
        <v>572</v>
      </c>
      <c r="G3285" s="34" t="str">
        <f t="shared" si="57"/>
        <v/>
      </c>
      <c r="H3285" s="35"/>
      <c r="I3285" s="31"/>
      <c r="J3285" s="156">
        <v>0</v>
      </c>
    </row>
    <row r="3286" spans="1:10" ht="15.75" hidden="1" thickBot="1" x14ac:dyDescent="0.3">
      <c r="A3286" s="222"/>
      <c r="B3286" s="225"/>
      <c r="C3286" s="36" t="s">
        <v>1044</v>
      </c>
      <c r="D3286" s="36" t="s">
        <v>94</v>
      </c>
      <c r="E3286" s="37">
        <v>1.0149999999999999</v>
      </c>
      <c r="F3286" s="31">
        <v>0</v>
      </c>
      <c r="G3286" s="34">
        <f t="shared" si="57"/>
        <v>0</v>
      </c>
      <c r="H3286" s="39">
        <f>SUM(G3286:G3289)</f>
        <v>2.5662444999999998</v>
      </c>
      <c r="I3286" s="40"/>
      <c r="J3286" s="156">
        <v>0</v>
      </c>
    </row>
    <row r="3287" spans="1:10" ht="15.75" hidden="1" thickBot="1" x14ac:dyDescent="0.3">
      <c r="A3287" s="222"/>
      <c r="B3287" s="225"/>
      <c r="C3287" s="36" t="s">
        <v>607</v>
      </c>
      <c r="D3287" s="47" t="s">
        <v>299</v>
      </c>
      <c r="E3287" s="37">
        <v>8.9999999999999993E-3</v>
      </c>
      <c r="F3287" s="31">
        <v>3.2965</v>
      </c>
      <c r="G3287" s="34">
        <f t="shared" si="57"/>
        <v>2.9668499999999997E-2</v>
      </c>
      <c r="H3287" s="35"/>
      <c r="I3287" s="31"/>
      <c r="J3287" s="156">
        <v>0</v>
      </c>
    </row>
    <row r="3288" spans="1:10" ht="15.75" hidden="1" thickBot="1" x14ac:dyDescent="0.3">
      <c r="A3288" s="222"/>
      <c r="B3288" s="225"/>
      <c r="C3288" s="36" t="s">
        <v>74</v>
      </c>
      <c r="D3288" s="36" t="s">
        <v>12</v>
      </c>
      <c r="E3288" s="37">
        <v>6.4000000000000001E-2</v>
      </c>
      <c r="F3288" s="31">
        <v>17.366</v>
      </c>
      <c r="G3288" s="34">
        <f t="shared" si="57"/>
        <v>1.111424</v>
      </c>
      <c r="H3288" s="35"/>
      <c r="I3288" s="31"/>
      <c r="J3288" s="156">
        <v>0</v>
      </c>
    </row>
    <row r="3289" spans="1:10" ht="15.75" hidden="1" thickBot="1" x14ac:dyDescent="0.3">
      <c r="A3289" s="222"/>
      <c r="B3289" s="225"/>
      <c r="C3289" s="36" t="s">
        <v>30</v>
      </c>
      <c r="D3289" s="36" t="s">
        <v>12</v>
      </c>
      <c r="E3289" s="37">
        <v>6.4000000000000001E-2</v>
      </c>
      <c r="F3289" s="31">
        <v>22.268000000000001</v>
      </c>
      <c r="G3289" s="34">
        <f t="shared" si="57"/>
        <v>1.425152</v>
      </c>
      <c r="H3289" s="35"/>
      <c r="I3289" s="31"/>
      <c r="J3289" s="156">
        <v>0</v>
      </c>
    </row>
    <row r="3290" spans="1:10" ht="15.75" hidden="1" thickBot="1" x14ac:dyDescent="0.3">
      <c r="A3290" s="223"/>
      <c r="B3290" s="226"/>
      <c r="C3290" s="36"/>
      <c r="D3290" s="36"/>
      <c r="E3290" s="37"/>
      <c r="F3290" s="31" t="s">
        <v>572</v>
      </c>
      <c r="G3290" s="34" t="str">
        <f t="shared" si="57"/>
        <v/>
      </c>
      <c r="H3290" s="35"/>
      <c r="I3290" s="31"/>
      <c r="J3290" s="156">
        <v>0</v>
      </c>
    </row>
    <row r="3291" spans="1:10" ht="15.75" hidden="1" thickBot="1" x14ac:dyDescent="0.3">
      <c r="A3291" s="221" t="s">
        <v>1045</v>
      </c>
      <c r="B3291" s="224" t="str">
        <f>INDEX(Orçamentária!A:B,MATCH(Composições!A3291,Orçamentária!A:A,0),2)</f>
        <v>Montagem e desmontagem de andaime fachadeiro</v>
      </c>
      <c r="C3291" s="41"/>
      <c r="D3291" s="26" t="str">
        <f>TRIM(INDEX(Orçamentária!C:C,MATCH(Composições!A3291,Orçamentária!A:A,0),1))</f>
        <v>m2</v>
      </c>
      <c r="E3291" s="27"/>
      <c r="F3291" s="42" t="s">
        <v>572</v>
      </c>
      <c r="G3291" s="28" t="str">
        <f t="shared" si="57"/>
        <v/>
      </c>
      <c r="H3291" s="29"/>
      <c r="I3291" s="30"/>
      <c r="J3291" s="156">
        <v>0</v>
      </c>
    </row>
    <row r="3292" spans="1:10" ht="15.75" hidden="1" thickBot="1" x14ac:dyDescent="0.3">
      <c r="A3292" s="222"/>
      <c r="B3292" s="225"/>
      <c r="C3292" s="32"/>
      <c r="D3292" s="32"/>
      <c r="E3292" s="33"/>
      <c r="F3292" s="43" t="s">
        <v>572</v>
      </c>
      <c r="G3292" s="34" t="str">
        <f t="shared" si="57"/>
        <v/>
      </c>
      <c r="H3292" s="35"/>
      <c r="I3292" s="31"/>
      <c r="J3292" s="156">
        <v>0</v>
      </c>
    </row>
    <row r="3293" spans="1:10" ht="26.25" hidden="1" thickBot="1" x14ac:dyDescent="0.3">
      <c r="A3293" s="222"/>
      <c r="B3293" s="225"/>
      <c r="C3293" s="36" t="s">
        <v>1046</v>
      </c>
      <c r="D3293" s="47" t="s">
        <v>759</v>
      </c>
      <c r="E3293" s="37">
        <v>0.29509999999999997</v>
      </c>
      <c r="F3293" s="31">
        <v>16.852999999999998</v>
      </c>
      <c r="G3293" s="34">
        <f t="shared" si="57"/>
        <v>4.9733202999999992</v>
      </c>
      <c r="H3293" s="39">
        <f>SUM(G3293:G3295)</f>
        <v>7.6052483546099996</v>
      </c>
      <c r="I3293" s="40"/>
      <c r="J3293" s="156">
        <v>0</v>
      </c>
    </row>
    <row r="3294" spans="1:10" ht="15.75" hidden="1" thickBot="1" x14ac:dyDescent="0.3">
      <c r="A3294" s="222"/>
      <c r="B3294" s="225"/>
      <c r="C3294" s="36" t="s">
        <v>760</v>
      </c>
      <c r="D3294" s="47" t="s">
        <v>759</v>
      </c>
      <c r="E3294" s="37">
        <v>5.8999999999999997E-2</v>
      </c>
      <c r="F3294" s="31">
        <v>16.311500000000002</v>
      </c>
      <c r="G3294" s="34">
        <f t="shared" si="57"/>
        <v>0.96237850000000014</v>
      </c>
      <c r="H3294" s="35"/>
      <c r="I3294" s="31"/>
      <c r="J3294" s="156">
        <v>0</v>
      </c>
    </row>
    <row r="3295" spans="1:10" ht="51.75" hidden="1" thickBot="1" x14ac:dyDescent="0.3">
      <c r="A3295" s="222"/>
      <c r="B3295" s="225"/>
      <c r="C3295" s="36" t="s">
        <v>1047</v>
      </c>
      <c r="D3295" s="47" t="s">
        <v>1048</v>
      </c>
      <c r="E3295" s="37">
        <v>0.1673</v>
      </c>
      <c r="F3295" s="31">
        <v>9.9793757000000003</v>
      </c>
      <c r="G3295" s="34">
        <f t="shared" si="57"/>
        <v>1.6695495546100001</v>
      </c>
      <c r="H3295" s="35"/>
      <c r="I3295" s="31"/>
      <c r="J3295" s="156">
        <v>0</v>
      </c>
    </row>
    <row r="3296" spans="1:10" ht="15.75" hidden="1" thickBot="1" x14ac:dyDescent="0.3">
      <c r="A3296" s="223"/>
      <c r="B3296" s="226"/>
      <c r="C3296" s="36"/>
      <c r="D3296" s="36"/>
      <c r="E3296" s="37"/>
      <c r="F3296" s="31" t="s">
        <v>572</v>
      </c>
      <c r="G3296" s="34" t="str">
        <f t="shared" si="57"/>
        <v/>
      </c>
      <c r="H3296" s="35"/>
      <c r="I3296" s="31"/>
      <c r="J3296" s="156">
        <v>0</v>
      </c>
    </row>
    <row r="3297" spans="1:10" ht="15.75" hidden="1" thickBot="1" x14ac:dyDescent="0.3">
      <c r="A3297" s="221" t="s">
        <v>1049</v>
      </c>
      <c r="B3297" s="224" t="str">
        <f>INDEX(Orçamentária!A:B,MATCH(Composições!A3297,Orçamentária!A:A,0),2)</f>
        <v>Montagem e desmontagem de andaime tubular</v>
      </c>
      <c r="C3297" s="41"/>
      <c r="D3297" s="26" t="str">
        <f>TRIM(INDEX(Orçamentária!C:C,MATCH(Composições!A3297,Orçamentária!A:A,0),1))</f>
        <v>m</v>
      </c>
      <c r="E3297" s="27"/>
      <c r="F3297" s="42" t="s">
        <v>572</v>
      </c>
      <c r="G3297" s="28" t="str">
        <f t="shared" si="57"/>
        <v/>
      </c>
      <c r="H3297" s="29"/>
      <c r="I3297" s="30"/>
      <c r="J3297" s="156">
        <v>0</v>
      </c>
    </row>
    <row r="3298" spans="1:10" ht="15.75" hidden="1" thickBot="1" x14ac:dyDescent="0.3">
      <c r="A3298" s="222"/>
      <c r="B3298" s="225"/>
      <c r="C3298" s="32"/>
      <c r="D3298" s="32"/>
      <c r="E3298" s="33"/>
      <c r="F3298" s="43" t="s">
        <v>572</v>
      </c>
      <c r="G3298" s="34" t="str">
        <f t="shared" si="57"/>
        <v/>
      </c>
      <c r="H3298" s="35"/>
      <c r="I3298" s="31"/>
      <c r="J3298" s="156">
        <v>0</v>
      </c>
    </row>
    <row r="3299" spans="1:10" ht="26.25" hidden="1" thickBot="1" x14ac:dyDescent="0.3">
      <c r="A3299" s="222"/>
      <c r="B3299" s="225"/>
      <c r="C3299" s="36" t="s">
        <v>1046</v>
      </c>
      <c r="D3299" s="47" t="s">
        <v>759</v>
      </c>
      <c r="E3299" s="37">
        <v>0.5</v>
      </c>
      <c r="F3299" s="31">
        <v>16.852999999999998</v>
      </c>
      <c r="G3299" s="34">
        <f t="shared" si="57"/>
        <v>8.426499999999999</v>
      </c>
      <c r="H3299" s="39">
        <f>SUM(G3299:G3301)</f>
        <v>14.069359031399999</v>
      </c>
      <c r="I3299" s="40"/>
      <c r="J3299" s="156">
        <v>0</v>
      </c>
    </row>
    <row r="3300" spans="1:10" ht="15.75" hidden="1" thickBot="1" x14ac:dyDescent="0.3">
      <c r="A3300" s="222"/>
      <c r="B3300" s="225"/>
      <c r="C3300" s="36" t="s">
        <v>760</v>
      </c>
      <c r="D3300" s="47" t="s">
        <v>759</v>
      </c>
      <c r="E3300" s="37">
        <v>0.1</v>
      </c>
      <c r="F3300" s="31">
        <v>16.311500000000002</v>
      </c>
      <c r="G3300" s="34">
        <f t="shared" si="57"/>
        <v>1.6311500000000003</v>
      </c>
      <c r="H3300" s="39"/>
      <c r="I3300" s="40"/>
      <c r="J3300" s="156">
        <v>0</v>
      </c>
    </row>
    <row r="3301" spans="1:10" ht="51.75" hidden="1" thickBot="1" x14ac:dyDescent="0.3">
      <c r="A3301" s="222"/>
      <c r="B3301" s="225"/>
      <c r="C3301" s="36" t="s">
        <v>1047</v>
      </c>
      <c r="D3301" s="47" t="s">
        <v>1048</v>
      </c>
      <c r="E3301" s="37">
        <v>0.40200000000000002</v>
      </c>
      <c r="F3301" s="31">
        <v>9.9793757000000003</v>
      </c>
      <c r="G3301" s="34">
        <f t="shared" si="57"/>
        <v>4.0117090314000006</v>
      </c>
      <c r="H3301" s="35"/>
      <c r="I3301" s="31"/>
      <c r="J3301" s="156">
        <v>0</v>
      </c>
    </row>
    <row r="3302" spans="1:10" ht="15.75" hidden="1" thickBot="1" x14ac:dyDescent="0.3">
      <c r="A3302" s="223"/>
      <c r="B3302" s="226"/>
      <c r="C3302" s="36"/>
      <c r="D3302" s="36"/>
      <c r="E3302" s="37"/>
      <c r="F3302" s="31" t="s">
        <v>572</v>
      </c>
      <c r="G3302" s="34" t="str">
        <f t="shared" si="57"/>
        <v/>
      </c>
      <c r="H3302" s="35"/>
      <c r="I3302" s="31"/>
      <c r="J3302" s="156">
        <v>0</v>
      </c>
    </row>
    <row r="3303" spans="1:10" ht="15.75" hidden="1" thickBot="1" x14ac:dyDescent="0.3">
      <c r="A3303" s="221" t="s">
        <v>1050</v>
      </c>
      <c r="B3303" s="224" t="str">
        <f>INDEX(Orçamentária!A:B,MATCH(Composições!A3303,Orçamentária!A:A,0),2)</f>
        <v>Locação de fechamento para andaimes com tela 100% polietileno</v>
      </c>
      <c r="C3303" s="41"/>
      <c r="D3303" s="26" t="str">
        <f>TRIM(INDEX(Orçamentária!C:C,MATCH(Composições!A3303,Orçamentária!A:A,0),1))</f>
        <v>m2 x mês</v>
      </c>
      <c r="E3303" s="27"/>
      <c r="F3303" s="42" t="s">
        <v>572</v>
      </c>
      <c r="G3303" s="28" t="str">
        <f t="shared" si="57"/>
        <v/>
      </c>
      <c r="H3303" s="29"/>
      <c r="I3303" s="30"/>
      <c r="J3303" s="156">
        <v>0</v>
      </c>
    </row>
    <row r="3304" spans="1:10" ht="15.75" hidden="1" thickBot="1" x14ac:dyDescent="0.3">
      <c r="A3304" s="222"/>
      <c r="B3304" s="225"/>
      <c r="C3304" s="32"/>
      <c r="D3304" s="32"/>
      <c r="E3304" s="33"/>
      <c r="F3304" s="43" t="s">
        <v>572</v>
      </c>
      <c r="G3304" s="34" t="str">
        <f t="shared" si="57"/>
        <v/>
      </c>
      <c r="H3304" s="35"/>
      <c r="I3304" s="31"/>
      <c r="J3304" s="156">
        <v>0</v>
      </c>
    </row>
    <row r="3305" spans="1:10" ht="26.25" hidden="1" thickBot="1" x14ac:dyDescent="0.3">
      <c r="A3305" s="222"/>
      <c r="B3305" s="225"/>
      <c r="C3305" s="36" t="s">
        <v>1051</v>
      </c>
      <c r="D3305" s="47" t="s">
        <v>299</v>
      </c>
      <c r="E3305" s="37">
        <v>0.89449999999999996</v>
      </c>
      <c r="F3305" s="31">
        <v>0.14249999999999999</v>
      </c>
      <c r="G3305" s="34">
        <f t="shared" si="57"/>
        <v>0.12746624999999998</v>
      </c>
      <c r="H3305" s="39">
        <f>SUM(G3305:G3308)</f>
        <v>3.8031730000000001</v>
      </c>
      <c r="I3305" s="40"/>
      <c r="J3305" s="156">
        <v>0</v>
      </c>
    </row>
    <row r="3306" spans="1:10" ht="26.25" hidden="1" thickBot="1" x14ac:dyDescent="0.3">
      <c r="A3306" s="222"/>
      <c r="B3306" s="225"/>
      <c r="C3306" s="36" t="s">
        <v>1052</v>
      </c>
      <c r="D3306" s="47" t="s">
        <v>1053</v>
      </c>
      <c r="E3306" s="37">
        <f>ROUND(1.177*(1/3),4)</f>
        <v>0.39229999999999998</v>
      </c>
      <c r="F3306" s="31">
        <v>1.9854999999999998</v>
      </c>
      <c r="G3306" s="34">
        <f t="shared" si="57"/>
        <v>0.77891164999999984</v>
      </c>
      <c r="H3306" s="35"/>
      <c r="I3306" s="31"/>
      <c r="J3306" s="156">
        <v>0</v>
      </c>
    </row>
    <row r="3307" spans="1:10" ht="15.75" hidden="1" thickBot="1" x14ac:dyDescent="0.3">
      <c r="A3307" s="222"/>
      <c r="B3307" s="225"/>
      <c r="C3307" s="36" t="s">
        <v>843</v>
      </c>
      <c r="D3307" s="47" t="s">
        <v>759</v>
      </c>
      <c r="E3307" s="37">
        <v>6.9900000000000004E-2</v>
      </c>
      <c r="F3307" s="31">
        <v>18.468</v>
      </c>
      <c r="G3307" s="34">
        <f t="shared" si="57"/>
        <v>1.2909132000000001</v>
      </c>
      <c r="H3307" s="35"/>
      <c r="I3307" s="31"/>
      <c r="J3307" s="156">
        <v>0</v>
      </c>
    </row>
    <row r="3308" spans="1:10" ht="15.75" hidden="1" thickBot="1" x14ac:dyDescent="0.3">
      <c r="A3308" s="222"/>
      <c r="B3308" s="225"/>
      <c r="C3308" s="36" t="s">
        <v>1054</v>
      </c>
      <c r="D3308" s="47" t="s">
        <v>759</v>
      </c>
      <c r="E3308" s="37">
        <v>7.3400000000000007E-2</v>
      </c>
      <c r="F3308" s="31">
        <v>21.878499999999999</v>
      </c>
      <c r="G3308" s="34">
        <f t="shared" si="57"/>
        <v>1.6058819</v>
      </c>
      <c r="H3308" s="35"/>
      <c r="I3308" s="31"/>
      <c r="J3308" s="156">
        <v>0</v>
      </c>
    </row>
    <row r="3309" spans="1:10" ht="15.75" hidden="1" thickBot="1" x14ac:dyDescent="0.3">
      <c r="A3309" s="222"/>
      <c r="B3309" s="225"/>
      <c r="C3309" s="36"/>
      <c r="D3309" s="47"/>
      <c r="E3309" s="37"/>
      <c r="F3309" s="31" t="s">
        <v>572</v>
      </c>
      <c r="G3309" s="34" t="str">
        <f t="shared" si="57"/>
        <v/>
      </c>
      <c r="H3309" s="35"/>
      <c r="I3309" s="31"/>
      <c r="J3309" s="156">
        <v>0</v>
      </c>
    </row>
    <row r="3310" spans="1:10" ht="26.25" hidden="1" thickBot="1" x14ac:dyDescent="0.3">
      <c r="A3310" s="222"/>
      <c r="B3310" s="225"/>
      <c r="C3310" s="52" t="s">
        <v>1055</v>
      </c>
      <c r="D3310" s="47"/>
      <c r="E3310" s="37"/>
      <c r="F3310" s="31" t="s">
        <v>572</v>
      </c>
      <c r="G3310" s="34" t="str">
        <f t="shared" si="57"/>
        <v/>
      </c>
      <c r="H3310" s="35"/>
      <c r="I3310" s="31"/>
      <c r="J3310" s="156">
        <v>0</v>
      </c>
    </row>
    <row r="3311" spans="1:10" ht="15.75" hidden="1" thickBot="1" x14ac:dyDescent="0.3">
      <c r="A3311" s="223"/>
      <c r="B3311" s="226"/>
      <c r="C3311" s="55"/>
      <c r="D3311" s="55"/>
      <c r="E3311" s="66"/>
      <c r="F3311" s="67" t="s">
        <v>572</v>
      </c>
      <c r="G3311" s="68" t="str">
        <f t="shared" si="57"/>
        <v/>
      </c>
      <c r="H3311" s="69"/>
      <c r="I3311" s="31"/>
      <c r="J3311" s="156">
        <v>0</v>
      </c>
    </row>
    <row r="3312" spans="1:10" ht="15.75" hidden="1" thickBot="1" x14ac:dyDescent="0.3">
      <c r="A3312" s="221" t="s">
        <v>1056</v>
      </c>
      <c r="B3312" s="224" t="str">
        <f>INDEX(Orçamentária!A:B,MATCH(Composições!A3312,Orçamentária!A:A,0),2)</f>
        <v>Remoção de folha de porta de enrolar</v>
      </c>
      <c r="C3312" s="41"/>
      <c r="D3312" s="26" t="str">
        <f>TRIM(INDEX(Orçamentária!C:C,MATCH(Composições!A3312,Orçamentária!A:A,0),1))</f>
        <v>un</v>
      </c>
      <c r="E3312" s="27"/>
      <c r="F3312" s="42" t="s">
        <v>572</v>
      </c>
      <c r="G3312" s="28" t="str">
        <f t="shared" si="57"/>
        <v/>
      </c>
      <c r="H3312" s="29"/>
      <c r="I3312" s="30"/>
      <c r="J3312" s="156">
        <v>0</v>
      </c>
    </row>
    <row r="3313" spans="1:10" ht="15.75" hidden="1" thickBot="1" x14ac:dyDescent="0.3">
      <c r="A3313" s="222"/>
      <c r="B3313" s="225"/>
      <c r="C3313" s="32"/>
      <c r="D3313" s="32"/>
      <c r="E3313" s="33"/>
      <c r="F3313" s="43" t="s">
        <v>572</v>
      </c>
      <c r="G3313" s="34" t="str">
        <f t="shared" si="57"/>
        <v/>
      </c>
      <c r="H3313" s="35"/>
      <c r="I3313" s="31"/>
      <c r="J3313" s="156">
        <v>0</v>
      </c>
    </row>
    <row r="3314" spans="1:10" ht="15.75" hidden="1" thickBot="1" x14ac:dyDescent="0.3">
      <c r="A3314" s="222"/>
      <c r="B3314" s="225"/>
      <c r="C3314" s="36" t="s">
        <v>670</v>
      </c>
      <c r="D3314" s="36" t="s">
        <v>12</v>
      </c>
      <c r="E3314" s="37">
        <v>2.5</v>
      </c>
      <c r="F3314" s="31">
        <v>21.973499999999998</v>
      </c>
      <c r="G3314" s="34">
        <f t="shared" si="57"/>
        <v>54.933749999999996</v>
      </c>
      <c r="H3314" s="39">
        <f>SUM(G3314:G3315)</f>
        <v>144.42374999999998</v>
      </c>
      <c r="I3314" s="40"/>
      <c r="J3314" s="156">
        <v>0</v>
      </c>
    </row>
    <row r="3315" spans="1:10" ht="15.75" hidden="1" thickBot="1" x14ac:dyDescent="0.3">
      <c r="A3315" s="222"/>
      <c r="B3315" s="225"/>
      <c r="C3315" s="36" t="s">
        <v>671</v>
      </c>
      <c r="D3315" s="36" t="s">
        <v>12</v>
      </c>
      <c r="E3315" s="37">
        <v>5</v>
      </c>
      <c r="F3315" s="31">
        <v>17.898</v>
      </c>
      <c r="G3315" s="34">
        <f t="shared" si="57"/>
        <v>89.49</v>
      </c>
      <c r="H3315" s="35"/>
      <c r="I3315" s="31"/>
      <c r="J3315" s="156">
        <v>0</v>
      </c>
    </row>
    <row r="3316" spans="1:10" ht="15.75" hidden="1" thickBot="1" x14ac:dyDescent="0.3">
      <c r="A3316" s="223"/>
      <c r="B3316" s="226"/>
      <c r="C3316" s="36"/>
      <c r="D3316" s="36"/>
      <c r="E3316" s="37"/>
      <c r="F3316" s="31" t="s">
        <v>572</v>
      </c>
      <c r="G3316" s="34" t="str">
        <f t="shared" si="57"/>
        <v/>
      </c>
      <c r="H3316" s="35"/>
      <c r="I3316" s="31"/>
      <c r="J3316" s="156">
        <v>0</v>
      </c>
    </row>
    <row r="3317" spans="1:10" ht="15.75" hidden="1" thickBot="1" x14ac:dyDescent="0.3">
      <c r="A3317" s="221" t="s">
        <v>1057</v>
      </c>
      <c r="B3317" s="224" t="str">
        <f>INDEX(Orçamentária!A:B,MATCH(Composições!A3317,Orçamentária!A:A,0),2)</f>
        <v>Base registro de gaveta 1"</v>
      </c>
      <c r="C3317" s="41"/>
      <c r="D3317" s="26" t="str">
        <f>TRIM(INDEX(Orçamentária!C:C,MATCH(Composições!A3317,Orçamentária!A:A,0),1))</f>
        <v>un</v>
      </c>
      <c r="E3317" s="27"/>
      <c r="F3317" s="42" t="s">
        <v>572</v>
      </c>
      <c r="G3317" s="28" t="str">
        <f t="shared" si="57"/>
        <v/>
      </c>
      <c r="H3317" s="29"/>
      <c r="I3317" s="30"/>
      <c r="J3317" s="156">
        <v>0</v>
      </c>
    </row>
    <row r="3318" spans="1:10" ht="15.75" hidden="1" thickBot="1" x14ac:dyDescent="0.3">
      <c r="A3318" s="222"/>
      <c r="B3318" s="225"/>
      <c r="C3318" s="32"/>
      <c r="D3318" s="32"/>
      <c r="E3318" s="33"/>
      <c r="F3318" s="43" t="s">
        <v>572</v>
      </c>
      <c r="G3318" s="34" t="str">
        <f t="shared" si="57"/>
        <v/>
      </c>
      <c r="H3318" s="35"/>
      <c r="I3318" s="31"/>
      <c r="J3318" s="156">
        <v>0</v>
      </c>
    </row>
    <row r="3319" spans="1:10" ht="26.25" hidden="1" thickBot="1" x14ac:dyDescent="0.3">
      <c r="A3319" s="222"/>
      <c r="B3319" s="225"/>
      <c r="C3319" s="36" t="s">
        <v>1058</v>
      </c>
      <c r="D3319" s="47" t="s">
        <v>150</v>
      </c>
      <c r="E3319" s="37">
        <v>1</v>
      </c>
      <c r="F3319" s="31" t="s">
        <v>572</v>
      </c>
      <c r="G3319" s="34" t="str">
        <f t="shared" si="57"/>
        <v/>
      </c>
      <c r="H3319" s="39">
        <f>SUM(G3319:G3322)</f>
        <v>29.958098</v>
      </c>
      <c r="I3319" s="40"/>
      <c r="J3319" s="156">
        <v>0</v>
      </c>
    </row>
    <row r="3320" spans="1:10" ht="15.75" hidden="1" thickBot="1" x14ac:dyDescent="0.3">
      <c r="A3320" s="222"/>
      <c r="B3320" s="225"/>
      <c r="C3320" s="36" t="s">
        <v>350</v>
      </c>
      <c r="D3320" s="47" t="s">
        <v>299</v>
      </c>
      <c r="E3320" s="37">
        <v>9.4999999999999998E-3</v>
      </c>
      <c r="F3320" s="31">
        <v>13.661</v>
      </c>
      <c r="G3320" s="34">
        <f t="shared" si="57"/>
        <v>0.12977949999999999</v>
      </c>
      <c r="H3320" s="35"/>
      <c r="I3320" s="31"/>
      <c r="J3320" s="156">
        <v>0</v>
      </c>
    </row>
    <row r="3321" spans="1:10" ht="15.75" hidden="1" thickBot="1" x14ac:dyDescent="0.3">
      <c r="A3321" s="222"/>
      <c r="B3321" s="225"/>
      <c r="C3321" s="36" t="s">
        <v>39</v>
      </c>
      <c r="D3321" s="47" t="s">
        <v>12</v>
      </c>
      <c r="E3321" s="37">
        <v>0.77449999999999997</v>
      </c>
      <c r="F3321" s="31">
        <v>21.622</v>
      </c>
      <c r="G3321" s="34">
        <f t="shared" si="57"/>
        <v>16.746238999999999</v>
      </c>
      <c r="H3321" s="35"/>
      <c r="I3321" s="31"/>
      <c r="J3321" s="156">
        <v>0</v>
      </c>
    </row>
    <row r="3322" spans="1:10" ht="26.25" hidden="1" thickBot="1" x14ac:dyDescent="0.3">
      <c r="A3322" s="222"/>
      <c r="B3322" s="225"/>
      <c r="C3322" s="36" t="s">
        <v>110</v>
      </c>
      <c r="D3322" s="36" t="s">
        <v>12</v>
      </c>
      <c r="E3322" s="37">
        <v>0.77449999999999997</v>
      </c>
      <c r="F3322" s="31">
        <v>16.891000000000002</v>
      </c>
      <c r="G3322" s="34">
        <f t="shared" si="57"/>
        <v>13.082079500000001</v>
      </c>
      <c r="H3322" s="35"/>
      <c r="I3322" s="31"/>
      <c r="J3322" s="156">
        <v>0</v>
      </c>
    </row>
    <row r="3323" spans="1:10" ht="15.75" hidden="1" thickBot="1" x14ac:dyDescent="0.3">
      <c r="A3323" s="223"/>
      <c r="B3323" s="226"/>
      <c r="C3323" s="36"/>
      <c r="D3323" s="36"/>
      <c r="E3323" s="37"/>
      <c r="F3323" s="31" t="s">
        <v>572</v>
      </c>
      <c r="G3323" s="34" t="str">
        <f t="shared" si="57"/>
        <v/>
      </c>
      <c r="H3323" s="35"/>
      <c r="I3323" s="31"/>
      <c r="J3323" s="156">
        <v>0</v>
      </c>
    </row>
    <row r="3324" spans="1:10" ht="15.75" hidden="1" thickBot="1" x14ac:dyDescent="0.3">
      <c r="A3324" s="221" t="s">
        <v>1059</v>
      </c>
      <c r="B3324" s="224" t="str">
        <f>INDEX(Orçamentária!A:B,MATCH(Composições!A3324,Orçamentária!A:A,0),2)</f>
        <v>Base registro de pressão 3/4"</v>
      </c>
      <c r="C3324" s="41"/>
      <c r="D3324" s="26" t="str">
        <f>TRIM(INDEX(Orçamentária!C:C,MATCH(Composições!A3324,Orçamentária!A:A,0),1))</f>
        <v>un</v>
      </c>
      <c r="E3324" s="27"/>
      <c r="F3324" s="42" t="s">
        <v>572</v>
      </c>
      <c r="G3324" s="28" t="str">
        <f t="shared" si="57"/>
        <v/>
      </c>
      <c r="H3324" s="29"/>
      <c r="I3324" s="30"/>
      <c r="J3324" s="156">
        <v>0</v>
      </c>
    </row>
    <row r="3325" spans="1:10" ht="15.75" hidden="1" thickBot="1" x14ac:dyDescent="0.3">
      <c r="A3325" s="222"/>
      <c r="B3325" s="225"/>
      <c r="C3325" s="32"/>
      <c r="D3325" s="32"/>
      <c r="E3325" s="33"/>
      <c r="F3325" s="43" t="s">
        <v>572</v>
      </c>
      <c r="G3325" s="34" t="str">
        <f t="shared" si="57"/>
        <v/>
      </c>
      <c r="H3325" s="35"/>
      <c r="I3325" s="31"/>
      <c r="J3325" s="156">
        <v>0</v>
      </c>
    </row>
    <row r="3326" spans="1:10" ht="15.75" hidden="1" thickBot="1" x14ac:dyDescent="0.3">
      <c r="A3326" s="222"/>
      <c r="B3326" s="225"/>
      <c r="C3326" s="36" t="s">
        <v>350</v>
      </c>
      <c r="D3326" s="47" t="s">
        <v>299</v>
      </c>
      <c r="E3326" s="37">
        <v>1.2999999999999999E-2</v>
      </c>
      <c r="F3326" s="31">
        <v>13.661</v>
      </c>
      <c r="G3326" s="34">
        <f t="shared" si="57"/>
        <v>0.17759299999999997</v>
      </c>
      <c r="H3326" s="39">
        <f>SUM(G3326:G3329)</f>
        <v>7.8801930000000002</v>
      </c>
      <c r="I3326" s="40"/>
      <c r="J3326" s="156">
        <v>0</v>
      </c>
    </row>
    <row r="3327" spans="1:10" ht="26.25" hidden="1" thickBot="1" x14ac:dyDescent="0.3">
      <c r="A3327" s="222"/>
      <c r="B3327" s="225"/>
      <c r="C3327" s="36" t="s">
        <v>1060</v>
      </c>
      <c r="D3327" s="47" t="s">
        <v>150</v>
      </c>
      <c r="E3327" s="37">
        <v>1</v>
      </c>
      <c r="F3327" s="31" t="s">
        <v>572</v>
      </c>
      <c r="G3327" s="34" t="str">
        <f t="shared" si="57"/>
        <v/>
      </c>
      <c r="H3327" s="35"/>
      <c r="I3327" s="31"/>
      <c r="J3327" s="156">
        <v>0</v>
      </c>
    </row>
    <row r="3328" spans="1:10" ht="26.25" hidden="1" thickBot="1" x14ac:dyDescent="0.3">
      <c r="A3328" s="222"/>
      <c r="B3328" s="225"/>
      <c r="C3328" s="36" t="s">
        <v>110</v>
      </c>
      <c r="D3328" s="47" t="s">
        <v>12</v>
      </c>
      <c r="E3328" s="37">
        <v>0.2</v>
      </c>
      <c r="F3328" s="31">
        <v>16.891000000000002</v>
      </c>
      <c r="G3328" s="34">
        <f t="shared" si="57"/>
        <v>3.3782000000000005</v>
      </c>
      <c r="H3328" s="35"/>
      <c r="I3328" s="31"/>
      <c r="J3328" s="156">
        <v>0</v>
      </c>
    </row>
    <row r="3329" spans="1:10" ht="15.75" hidden="1" thickBot="1" x14ac:dyDescent="0.3">
      <c r="A3329" s="222"/>
      <c r="B3329" s="225"/>
      <c r="C3329" s="36" t="s">
        <v>39</v>
      </c>
      <c r="D3329" s="36" t="s">
        <v>12</v>
      </c>
      <c r="E3329" s="37">
        <v>0.2</v>
      </c>
      <c r="F3329" s="31">
        <v>21.622</v>
      </c>
      <c r="G3329" s="34">
        <f t="shared" si="57"/>
        <v>4.3243999999999998</v>
      </c>
      <c r="H3329" s="35"/>
      <c r="I3329" s="31"/>
      <c r="J3329" s="156">
        <v>0</v>
      </c>
    </row>
    <row r="3330" spans="1:10" ht="15.75" hidden="1" thickBot="1" x14ac:dyDescent="0.3">
      <c r="A3330" s="223"/>
      <c r="B3330" s="226"/>
      <c r="C3330" s="36"/>
      <c r="D3330" s="36"/>
      <c r="E3330" s="37"/>
      <c r="F3330" s="31" t="s">
        <v>572</v>
      </c>
      <c r="G3330" s="34" t="str">
        <f t="shared" si="57"/>
        <v/>
      </c>
      <c r="H3330" s="35"/>
      <c r="I3330" s="31"/>
      <c r="J3330" s="156">
        <v>0</v>
      </c>
    </row>
    <row r="3331" spans="1:10" ht="15.75" hidden="1" thickBot="1" x14ac:dyDescent="0.3">
      <c r="A3331" s="221" t="s">
        <v>1061</v>
      </c>
      <c r="B3331" s="224" t="str">
        <f>INDEX(Orçamentária!A:B,MATCH(Composições!A3331,Orçamentária!A:A,0),2)</f>
        <v>Tampa em ferro fundido T33</v>
      </c>
      <c r="C3331" s="41"/>
      <c r="D3331" s="26" t="str">
        <f>TRIM(INDEX(Orçamentária!C:C,MATCH(Composições!A3331,Orçamentária!A:A,0),1))</f>
        <v>un</v>
      </c>
      <c r="E3331" s="27"/>
      <c r="F3331" s="42" t="s">
        <v>572</v>
      </c>
      <c r="G3331" s="28" t="str">
        <f t="shared" si="57"/>
        <v/>
      </c>
      <c r="H3331" s="29"/>
      <c r="I3331" s="30"/>
      <c r="J3331" s="156">
        <v>0</v>
      </c>
    </row>
    <row r="3332" spans="1:10" ht="15.75" hidden="1" thickBot="1" x14ac:dyDescent="0.3">
      <c r="A3332" s="222"/>
      <c r="B3332" s="225"/>
      <c r="C3332" s="32"/>
      <c r="D3332" s="32"/>
      <c r="E3332" s="33"/>
      <c r="F3332" s="43" t="s">
        <v>572</v>
      </c>
      <c r="G3332" s="34" t="str">
        <f t="shared" si="57"/>
        <v/>
      </c>
      <c r="H3332" s="35"/>
      <c r="I3332" s="31"/>
      <c r="J3332" s="156">
        <v>0</v>
      </c>
    </row>
    <row r="3333" spans="1:10" ht="26.25" hidden="1" thickBot="1" x14ac:dyDescent="0.3">
      <c r="A3333" s="222"/>
      <c r="B3333" s="225"/>
      <c r="C3333" s="36" t="s">
        <v>1062</v>
      </c>
      <c r="D3333" s="47" t="s">
        <v>299</v>
      </c>
      <c r="E3333" s="37">
        <v>1</v>
      </c>
      <c r="F3333" s="31">
        <v>247.43699999999995</v>
      </c>
      <c r="G3333" s="34">
        <f t="shared" si="57"/>
        <v>247.43699999999995</v>
      </c>
      <c r="H3333" s="39">
        <f>SUM(G3333:G3336)</f>
        <v>315.51694688939796</v>
      </c>
      <c r="I3333" s="40"/>
      <c r="J3333" s="156">
        <v>0</v>
      </c>
    </row>
    <row r="3334" spans="1:10" ht="39" hidden="1" thickBot="1" x14ac:dyDescent="0.3">
      <c r="A3334" s="222"/>
      <c r="B3334" s="225"/>
      <c r="C3334" s="36" t="s">
        <v>1063</v>
      </c>
      <c r="D3334" s="47" t="s">
        <v>124</v>
      </c>
      <c r="E3334" s="37">
        <v>7.0000000000000001E-3</v>
      </c>
      <c r="F3334" s="31">
        <v>400.23526991400001</v>
      </c>
      <c r="G3334" s="34">
        <f t="shared" si="57"/>
        <v>2.801646889398</v>
      </c>
      <c r="H3334" s="35"/>
      <c r="I3334" s="31"/>
      <c r="J3334" s="156">
        <v>0</v>
      </c>
    </row>
    <row r="3335" spans="1:10" ht="15.75" hidden="1" thickBot="1" x14ac:dyDescent="0.3">
      <c r="A3335" s="222"/>
      <c r="B3335" s="225"/>
      <c r="C3335" s="36" t="s">
        <v>22</v>
      </c>
      <c r="D3335" s="36" t="s">
        <v>12</v>
      </c>
      <c r="E3335" s="37">
        <v>1.7</v>
      </c>
      <c r="F3335" s="31">
        <v>22.087499999999999</v>
      </c>
      <c r="G3335" s="34">
        <f t="shared" si="57"/>
        <v>37.548749999999998</v>
      </c>
      <c r="H3335" s="35"/>
      <c r="I3335" s="31"/>
      <c r="J3335" s="156">
        <v>0</v>
      </c>
    </row>
    <row r="3336" spans="1:10" ht="15.75" hidden="1" thickBot="1" x14ac:dyDescent="0.3">
      <c r="A3336" s="222"/>
      <c r="B3336" s="225"/>
      <c r="C3336" s="36" t="s">
        <v>23</v>
      </c>
      <c r="D3336" s="36" t="s">
        <v>12</v>
      </c>
      <c r="E3336" s="37">
        <v>1.7</v>
      </c>
      <c r="F3336" s="31">
        <v>16.311500000000002</v>
      </c>
      <c r="G3336" s="34">
        <f t="shared" si="57"/>
        <v>27.729550000000003</v>
      </c>
      <c r="H3336" s="35"/>
      <c r="I3336" s="31"/>
      <c r="J3336" s="156">
        <v>0</v>
      </c>
    </row>
    <row r="3337" spans="1:10" ht="15.75" hidden="1" thickBot="1" x14ac:dyDescent="0.3">
      <c r="A3337" s="223"/>
      <c r="B3337" s="226"/>
      <c r="C3337" s="55"/>
      <c r="D3337" s="55"/>
      <c r="E3337" s="66"/>
      <c r="F3337" s="67" t="s">
        <v>572</v>
      </c>
      <c r="G3337" s="68" t="str">
        <f t="shared" si="57"/>
        <v/>
      </c>
      <c r="H3337" s="69"/>
      <c r="I3337" s="31"/>
      <c r="J3337" s="156">
        <v>0</v>
      </c>
    </row>
    <row r="3338" spans="1:10" ht="15.75" hidden="1" thickBot="1" x14ac:dyDescent="0.3">
      <c r="A3338" s="227" t="s">
        <v>1064</v>
      </c>
      <c r="B3338" s="225" t="str">
        <f>INDEX(Orçamentária!A:B,MATCH(Composições!A3338,Orçamentária!A:A,0),2)</f>
        <v>Arquiteto(a) com experiência em intervenção no patrimônio cultural</v>
      </c>
      <c r="C3338" s="134"/>
      <c r="D3338" s="26" t="str">
        <f>TRIM(INDEX(Orçamentária!C:C,MATCH(Composições!A3338,Orçamentária!A:A,0),1))</f>
        <v>hh</v>
      </c>
      <c r="E3338" s="70"/>
      <c r="F3338" s="71" t="s">
        <v>572</v>
      </c>
      <c r="G3338" s="71" t="str">
        <f t="shared" si="57"/>
        <v/>
      </c>
      <c r="H3338" s="72"/>
      <c r="I3338" s="30"/>
      <c r="J3338" s="156">
        <v>0</v>
      </c>
    </row>
    <row r="3339" spans="1:10" ht="15.75" hidden="1" thickBot="1" x14ac:dyDescent="0.3">
      <c r="A3339" s="222"/>
      <c r="B3339" s="225"/>
      <c r="C3339" s="32"/>
      <c r="D3339" s="32"/>
      <c r="E3339" s="33"/>
      <c r="F3339" s="31" t="s">
        <v>572</v>
      </c>
      <c r="G3339" s="34" t="str">
        <f t="shared" si="57"/>
        <v/>
      </c>
      <c r="H3339" s="35"/>
      <c r="I3339" s="31"/>
      <c r="J3339" s="156">
        <v>0</v>
      </c>
    </row>
    <row r="3340" spans="1:10" ht="15.75" hidden="1" thickBot="1" x14ac:dyDescent="0.3">
      <c r="A3340" s="222"/>
      <c r="B3340" s="225"/>
      <c r="C3340" s="36" t="s">
        <v>1065</v>
      </c>
      <c r="D3340" s="36" t="s">
        <v>12</v>
      </c>
      <c r="E3340" s="37">
        <v>1</v>
      </c>
      <c r="F3340" s="31">
        <v>91.96</v>
      </c>
      <c r="G3340" s="34">
        <f t="shared" si="57"/>
        <v>91.96</v>
      </c>
      <c r="H3340" s="39">
        <f>SUM(G3340:G3340)</f>
        <v>91.96</v>
      </c>
      <c r="I3340" s="40"/>
      <c r="J3340" s="156">
        <v>0</v>
      </c>
    </row>
    <row r="3341" spans="1:10" ht="15.75" hidden="1" thickBot="1" x14ac:dyDescent="0.3">
      <c r="A3341" s="223"/>
      <c r="B3341" s="226"/>
      <c r="C3341" s="36"/>
      <c r="D3341" s="36"/>
      <c r="E3341" s="37"/>
      <c r="F3341" s="31" t="s">
        <v>572</v>
      </c>
      <c r="G3341" s="34" t="str">
        <f t="shared" si="57"/>
        <v/>
      </c>
      <c r="H3341" s="35"/>
      <c r="I3341" s="31"/>
      <c r="J3341" s="156">
        <v>0</v>
      </c>
    </row>
    <row r="3342" spans="1:10" ht="15.75" hidden="1" thickBot="1" x14ac:dyDescent="0.3">
      <c r="A3342" s="221" t="s">
        <v>1066</v>
      </c>
      <c r="B3342" s="224" t="str">
        <f>INDEX(Orçamentária!A:B,MATCH(Composições!A3342,Orçamentária!A:A,0),2)</f>
        <v>Locação de andaime suspenso tipo leve</v>
      </c>
      <c r="C3342" s="41"/>
      <c r="D3342" s="26" t="str">
        <f>TRIM(INDEX(Orçamentária!C:C,MATCH(Composições!A3342,Orçamentária!A:A,0),1))</f>
        <v>un x mês</v>
      </c>
      <c r="E3342" s="27"/>
      <c r="F3342" s="42" t="s">
        <v>572</v>
      </c>
      <c r="G3342" s="28" t="str">
        <f t="shared" si="57"/>
        <v/>
      </c>
      <c r="H3342" s="29"/>
      <c r="I3342" s="30"/>
      <c r="J3342" s="156">
        <v>0</v>
      </c>
    </row>
    <row r="3343" spans="1:10" ht="15.75" hidden="1" thickBot="1" x14ac:dyDescent="0.3">
      <c r="A3343" s="227"/>
      <c r="B3343" s="225"/>
      <c r="C3343" s="32"/>
      <c r="D3343" s="32"/>
      <c r="E3343" s="33"/>
      <c r="F3343" s="43" t="s">
        <v>572</v>
      </c>
      <c r="G3343" s="34" t="str">
        <f t="shared" si="57"/>
        <v/>
      </c>
      <c r="H3343" s="35"/>
      <c r="I3343" s="31"/>
      <c r="J3343" s="156">
        <v>0</v>
      </c>
    </row>
    <row r="3344" spans="1:10" ht="39" hidden="1" thickBot="1" x14ac:dyDescent="0.3">
      <c r="A3344" s="227"/>
      <c r="B3344" s="225"/>
      <c r="C3344" s="36" t="s">
        <v>1067</v>
      </c>
      <c r="D3344" s="36" t="s">
        <v>131</v>
      </c>
      <c r="E3344" s="37">
        <v>1</v>
      </c>
      <c r="F3344" s="31">
        <v>570</v>
      </c>
      <c r="G3344" s="34">
        <f t="shared" si="57"/>
        <v>570</v>
      </c>
      <c r="H3344" s="39">
        <f>SUM(G3344:G3344)</f>
        <v>570</v>
      </c>
      <c r="I3344" s="40"/>
      <c r="J3344" s="156">
        <v>0</v>
      </c>
    </row>
    <row r="3345" spans="1:10" ht="15.75" hidden="1" thickBot="1" x14ac:dyDescent="0.3">
      <c r="A3345" s="228"/>
      <c r="B3345" s="226"/>
      <c r="C3345" s="36"/>
      <c r="D3345" s="36"/>
      <c r="E3345" s="37"/>
      <c r="F3345" s="31" t="s">
        <v>572</v>
      </c>
      <c r="G3345" s="34" t="str">
        <f t="shared" si="57"/>
        <v/>
      </c>
      <c r="H3345" s="35"/>
      <c r="I3345" s="31"/>
      <c r="J3345" s="156">
        <v>0</v>
      </c>
    </row>
    <row r="3346" spans="1:10" ht="15.75" hidden="1" thickBot="1" x14ac:dyDescent="0.3">
      <c r="A3346" s="221" t="s">
        <v>1068</v>
      </c>
      <c r="B3346" s="224" t="str">
        <f>INDEX(Orçamentária!A:B,MATCH(Composições!A3346,Orçamentária!A:A,0),2)</f>
        <v>Limpeza de superfície por hidrojateamento de média pressão</v>
      </c>
      <c r="C3346" s="41"/>
      <c r="D3346" s="26" t="str">
        <f>TRIM(INDEX(Orçamentária!C:C,MATCH(Composições!A3346,Orçamentária!A:A,0),1))</f>
        <v>m2</v>
      </c>
      <c r="E3346" s="27"/>
      <c r="F3346" s="42" t="s">
        <v>572</v>
      </c>
      <c r="G3346" s="28" t="str">
        <f t="shared" ref="G3346:G3409" si="58">IF(ISNUMBER(F3346),E3346*F3346,"")</f>
        <v/>
      </c>
      <c r="H3346" s="29"/>
      <c r="I3346" s="30"/>
      <c r="J3346" s="156">
        <v>0</v>
      </c>
    </row>
    <row r="3347" spans="1:10" ht="15.75" hidden="1" thickBot="1" x14ac:dyDescent="0.3">
      <c r="A3347" s="222"/>
      <c r="B3347" s="225"/>
      <c r="C3347" s="32"/>
      <c r="D3347" s="32"/>
      <c r="E3347" s="33"/>
      <c r="F3347" s="43" t="s">
        <v>572</v>
      </c>
      <c r="G3347" s="34" t="str">
        <f t="shared" si="58"/>
        <v/>
      </c>
      <c r="H3347" s="35"/>
      <c r="I3347" s="31"/>
      <c r="J3347" s="156">
        <v>0</v>
      </c>
    </row>
    <row r="3348" spans="1:10" ht="15.75" hidden="1" thickBot="1" x14ac:dyDescent="0.3">
      <c r="A3348" s="222"/>
      <c r="B3348" s="225"/>
      <c r="C3348" s="36" t="s">
        <v>23</v>
      </c>
      <c r="D3348" s="36" t="s">
        <v>12</v>
      </c>
      <c r="E3348" s="37">
        <v>8.8999999999999996E-2</v>
      </c>
      <c r="F3348" s="31">
        <v>16.311500000000002</v>
      </c>
      <c r="G3348" s="34">
        <f t="shared" si="58"/>
        <v>1.4517235000000002</v>
      </c>
      <c r="H3348" s="39">
        <f>SUM(G3348:G3349)</f>
        <v>1.4664010000000001</v>
      </c>
      <c r="I3348" s="40"/>
      <c r="J3348" s="156">
        <v>0</v>
      </c>
    </row>
    <row r="3349" spans="1:10" ht="39" hidden="1" thickBot="1" x14ac:dyDescent="0.3">
      <c r="A3349" s="222"/>
      <c r="B3349" s="225"/>
      <c r="C3349" s="36" t="s">
        <v>1069</v>
      </c>
      <c r="D3349" s="36" t="s">
        <v>33</v>
      </c>
      <c r="E3349" s="37">
        <v>1.4999999999999999E-2</v>
      </c>
      <c r="F3349" s="31">
        <v>0.97849999999999993</v>
      </c>
      <c r="G3349" s="34">
        <f t="shared" si="58"/>
        <v>1.4677499999999998E-2</v>
      </c>
      <c r="H3349" s="35"/>
      <c r="I3349" s="31"/>
      <c r="J3349" s="156">
        <v>0</v>
      </c>
    </row>
    <row r="3350" spans="1:10" ht="15.75" hidden="1" thickBot="1" x14ac:dyDescent="0.3">
      <c r="A3350" s="223"/>
      <c r="B3350" s="226"/>
      <c r="C3350" s="36"/>
      <c r="D3350" s="36"/>
      <c r="E3350" s="37"/>
      <c r="F3350" s="31" t="s">
        <v>572</v>
      </c>
      <c r="G3350" s="34" t="str">
        <f t="shared" si="58"/>
        <v/>
      </c>
      <c r="H3350" s="35"/>
      <c r="I3350" s="31"/>
      <c r="J3350" s="156">
        <v>0</v>
      </c>
    </row>
    <row r="3351" spans="1:10" ht="15.75" hidden="1" thickBot="1" x14ac:dyDescent="0.3">
      <c r="A3351" s="221" t="s">
        <v>1070</v>
      </c>
      <c r="B3351" s="224" t="str">
        <f>INDEX(Orçamentária!A:B,MATCH(Composições!A3351,Orçamentária!A:A,0),2)</f>
        <v>Inspeção da integridade e adesão de placas de rocha ornamental por percussão</v>
      </c>
      <c r="C3351" s="41"/>
      <c r="D3351" s="26" t="str">
        <f>TRIM(INDEX(Orçamentária!C:C,MATCH(Composições!A3351,Orçamentária!A:A,0),1))</f>
        <v>m2</v>
      </c>
      <c r="E3351" s="27"/>
      <c r="F3351" s="49" t="s">
        <v>572</v>
      </c>
      <c r="G3351" s="28" t="str">
        <f t="shared" si="58"/>
        <v/>
      </c>
      <c r="H3351" s="29"/>
      <c r="I3351" s="30"/>
      <c r="J3351" s="156">
        <v>0</v>
      </c>
    </row>
    <row r="3352" spans="1:10" ht="15.75" hidden="1" thickBot="1" x14ac:dyDescent="0.3">
      <c r="A3352" s="222"/>
      <c r="B3352" s="225"/>
      <c r="C3352" s="32"/>
      <c r="D3352" s="32"/>
      <c r="E3352" s="33"/>
      <c r="F3352" s="54" t="s">
        <v>572</v>
      </c>
      <c r="G3352" s="54" t="str">
        <f t="shared" si="58"/>
        <v/>
      </c>
      <c r="H3352" s="73"/>
      <c r="I3352" s="74"/>
      <c r="J3352" s="156">
        <v>0</v>
      </c>
    </row>
    <row r="3353" spans="1:10" ht="15.75" hidden="1" thickBot="1" x14ac:dyDescent="0.3">
      <c r="A3353" s="222"/>
      <c r="B3353" s="225"/>
      <c r="C3353" s="36" t="s">
        <v>54</v>
      </c>
      <c r="D3353" s="36" t="s">
        <v>12</v>
      </c>
      <c r="E3353" s="37">
        <v>0.25</v>
      </c>
      <c r="F3353" s="54">
        <v>18.420500000000001</v>
      </c>
      <c r="G3353" s="54">
        <f t="shared" si="58"/>
        <v>4.6051250000000001</v>
      </c>
      <c r="H3353" s="39">
        <f>SUM(G3353:G3354)</f>
        <v>4.6051250000000001</v>
      </c>
      <c r="I3353" s="40"/>
      <c r="J3353" s="156">
        <v>0</v>
      </c>
    </row>
    <row r="3354" spans="1:10" ht="15.75" hidden="1" thickBot="1" x14ac:dyDescent="0.3">
      <c r="A3354" s="223"/>
      <c r="B3354" s="226"/>
      <c r="C3354" s="36"/>
      <c r="D3354" s="36"/>
      <c r="E3354" s="37"/>
      <c r="F3354" s="54" t="s">
        <v>572</v>
      </c>
      <c r="G3354" s="54" t="str">
        <f t="shared" si="58"/>
        <v/>
      </c>
      <c r="H3354" s="73"/>
      <c r="I3354" s="74"/>
      <c r="J3354" s="156">
        <v>0</v>
      </c>
    </row>
    <row r="3355" spans="1:10" ht="15.75" hidden="1" thickBot="1" x14ac:dyDescent="0.3">
      <c r="A3355" s="221" t="s">
        <v>1071</v>
      </c>
      <c r="B3355" s="224" t="str">
        <f>INDEX(Orçamentária!A:B,MATCH(Composições!A3355,Orçamentária!A:A,0),2)</f>
        <v>Demolição de proteção mecânica de impermeabilização</v>
      </c>
      <c r="C3355" s="41"/>
      <c r="D3355" s="26" t="str">
        <f>TRIM(INDEX(Orçamentária!C:C,MATCH(Composições!A3355,Orçamentária!A:A,0),1))</f>
        <v>m2</v>
      </c>
      <c r="E3355" s="27"/>
      <c r="F3355" s="49" t="s">
        <v>572</v>
      </c>
      <c r="G3355" s="28" t="str">
        <f t="shared" si="58"/>
        <v/>
      </c>
      <c r="H3355" s="29"/>
      <c r="I3355" s="30"/>
      <c r="J3355" s="156">
        <v>0</v>
      </c>
    </row>
    <row r="3356" spans="1:10" ht="15.75" hidden="1" thickBot="1" x14ac:dyDescent="0.3">
      <c r="A3356" s="222"/>
      <c r="B3356" s="225"/>
      <c r="C3356" s="32"/>
      <c r="D3356" s="32"/>
      <c r="E3356" s="33"/>
      <c r="F3356" s="54" t="s">
        <v>572</v>
      </c>
      <c r="G3356" s="54" t="str">
        <f t="shared" si="58"/>
        <v/>
      </c>
      <c r="H3356" s="73"/>
      <c r="I3356" s="74"/>
      <c r="J3356" s="156">
        <v>0</v>
      </c>
    </row>
    <row r="3357" spans="1:10" ht="15.75" hidden="1" thickBot="1" x14ac:dyDescent="0.3">
      <c r="A3357" s="222"/>
      <c r="B3357" s="225"/>
      <c r="C3357" s="36" t="s">
        <v>23</v>
      </c>
      <c r="D3357" s="36" t="s">
        <v>759</v>
      </c>
      <c r="E3357" s="37">
        <v>1.25</v>
      </c>
      <c r="F3357" s="54">
        <v>16.311500000000002</v>
      </c>
      <c r="G3357" s="54">
        <f t="shared" si="58"/>
        <v>20.389375000000001</v>
      </c>
      <c r="H3357" s="39">
        <f>SUM(G3357:G3357)</f>
        <v>20.389375000000001</v>
      </c>
      <c r="I3357" s="40"/>
      <c r="J3357" s="156">
        <v>0</v>
      </c>
    </row>
    <row r="3358" spans="1:10" ht="15.75" hidden="1" thickBot="1" x14ac:dyDescent="0.3">
      <c r="A3358" s="223"/>
      <c r="B3358" s="226"/>
      <c r="C3358" s="36"/>
      <c r="D3358" s="36"/>
      <c r="E3358" s="37"/>
      <c r="F3358" s="54" t="s">
        <v>572</v>
      </c>
      <c r="G3358" s="54" t="str">
        <f t="shared" si="58"/>
        <v/>
      </c>
      <c r="H3358" s="73"/>
      <c r="I3358" s="74"/>
      <c r="J3358" s="156">
        <v>0</v>
      </c>
    </row>
    <row r="3359" spans="1:10" ht="15.75" hidden="1" thickBot="1" x14ac:dyDescent="0.3">
      <c r="A3359" s="221" t="s">
        <v>1072</v>
      </c>
      <c r="B3359" s="224" t="str">
        <f>INDEX(Orçamentária!A:B,MATCH(Composições!A3359,Orçamentária!A:A,0),2)</f>
        <v>Impermeabilização com emulsão asfáltica</v>
      </c>
      <c r="C3359" s="41"/>
      <c r="D3359" s="26" t="str">
        <f>TRIM(INDEX(Orçamentária!C:C,MATCH(Composições!A3359,Orçamentária!A:A,0),1))</f>
        <v>m2</v>
      </c>
      <c r="E3359" s="27"/>
      <c r="F3359" s="49" t="s">
        <v>572</v>
      </c>
      <c r="G3359" s="28" t="str">
        <f t="shared" si="58"/>
        <v/>
      </c>
      <c r="H3359" s="29"/>
      <c r="I3359" s="30"/>
      <c r="J3359" s="156">
        <v>0</v>
      </c>
    </row>
    <row r="3360" spans="1:10" ht="15.75" hidden="1" thickBot="1" x14ac:dyDescent="0.3">
      <c r="A3360" s="222"/>
      <c r="B3360" s="225"/>
      <c r="C3360" s="32"/>
      <c r="D3360" s="32"/>
      <c r="E3360" s="33"/>
      <c r="F3360" s="54" t="s">
        <v>572</v>
      </c>
      <c r="G3360" s="54" t="str">
        <f t="shared" si="58"/>
        <v/>
      </c>
      <c r="H3360" s="73"/>
      <c r="I3360" s="74"/>
      <c r="J3360" s="156">
        <v>0</v>
      </c>
    </row>
    <row r="3361" spans="1:10" ht="39" hidden="1" thickBot="1" x14ac:dyDescent="0.3">
      <c r="A3361" s="222"/>
      <c r="B3361" s="225"/>
      <c r="C3361" s="36" t="s">
        <v>1073</v>
      </c>
      <c r="D3361" s="36" t="s">
        <v>957</v>
      </c>
      <c r="E3361" s="37">
        <v>1.5</v>
      </c>
      <c r="F3361" s="54">
        <v>14.962499999999999</v>
      </c>
      <c r="G3361" s="54">
        <f t="shared" si="58"/>
        <v>22.443749999999998</v>
      </c>
      <c r="H3361" s="39">
        <f>SUM(G3361:G3364)</f>
        <v>39.263699500000001</v>
      </c>
      <c r="I3361" s="40"/>
      <c r="J3361" s="156">
        <v>0</v>
      </c>
    </row>
    <row r="3362" spans="1:10" ht="15.75" hidden="1" thickBot="1" x14ac:dyDescent="0.3">
      <c r="A3362" s="222"/>
      <c r="B3362" s="225"/>
      <c r="C3362" s="36" t="s">
        <v>3487</v>
      </c>
      <c r="D3362" s="36" t="s">
        <v>1053</v>
      </c>
      <c r="E3362" s="37">
        <v>1.351</v>
      </c>
      <c r="F3362" s="54">
        <v>4.3319999999999999</v>
      </c>
      <c r="G3362" s="54">
        <f t="shared" si="58"/>
        <v>5.8525320000000001</v>
      </c>
      <c r="H3362" s="73"/>
      <c r="I3362" s="40"/>
      <c r="J3362" s="156">
        <v>0</v>
      </c>
    </row>
    <row r="3363" spans="1:10" ht="15.75" hidden="1" thickBot="1" x14ac:dyDescent="0.3">
      <c r="A3363" s="222"/>
      <c r="B3363" s="225"/>
      <c r="C3363" s="36" t="s">
        <v>1074</v>
      </c>
      <c r="D3363" s="36" t="s">
        <v>759</v>
      </c>
      <c r="E3363" s="37">
        <v>8.5000000000000006E-2</v>
      </c>
      <c r="F3363" s="54">
        <v>19.3705</v>
      </c>
      <c r="G3363" s="54">
        <f t="shared" si="58"/>
        <v>1.6464925000000001</v>
      </c>
      <c r="H3363" s="73"/>
      <c r="I3363" s="74"/>
      <c r="J3363" s="156">
        <v>0</v>
      </c>
    </row>
    <row r="3364" spans="1:10" ht="15.75" hidden="1" thickBot="1" x14ac:dyDescent="0.3">
      <c r="A3364" s="222"/>
      <c r="B3364" s="225"/>
      <c r="C3364" s="36" t="s">
        <v>1075</v>
      </c>
      <c r="D3364" s="36" t="s">
        <v>759</v>
      </c>
      <c r="E3364" s="37">
        <v>0.42199999999999999</v>
      </c>
      <c r="F3364" s="54">
        <v>22.087499999999999</v>
      </c>
      <c r="G3364" s="54">
        <f t="shared" si="58"/>
        <v>9.320924999999999</v>
      </c>
      <c r="H3364" s="73"/>
      <c r="I3364" s="74"/>
      <c r="J3364" s="156">
        <v>0</v>
      </c>
    </row>
    <row r="3365" spans="1:10" ht="15.75" hidden="1" thickBot="1" x14ac:dyDescent="0.3">
      <c r="A3365" s="223"/>
      <c r="B3365" s="226"/>
      <c r="C3365" s="36"/>
      <c r="D3365" s="36"/>
      <c r="E3365" s="37"/>
      <c r="F3365" s="54" t="s">
        <v>572</v>
      </c>
      <c r="G3365" s="54" t="str">
        <f t="shared" si="58"/>
        <v/>
      </c>
      <c r="H3365" s="73"/>
      <c r="I3365" s="74"/>
      <c r="J3365" s="156">
        <v>0</v>
      </c>
    </row>
    <row r="3366" spans="1:10" ht="15.75" hidden="1" thickBot="1" x14ac:dyDescent="0.3">
      <c r="A3366" s="221" t="s">
        <v>1076</v>
      </c>
      <c r="B3366" s="224" t="str">
        <f>INDEX(Orçamentária!A:B,MATCH(Composições!A3366,Orçamentária!A:A,0),2)</f>
        <v>Camada de proteção mecânica simples de impermeabilização</v>
      </c>
      <c r="C3366" s="41"/>
      <c r="D3366" s="26" t="str">
        <f>TRIM(INDEX(Orçamentária!C:C,MATCH(Composições!A3366,Orçamentária!A:A,0),1))</f>
        <v>m2</v>
      </c>
      <c r="E3366" s="27"/>
      <c r="F3366" s="49" t="s">
        <v>572</v>
      </c>
      <c r="G3366" s="28" t="str">
        <f t="shared" si="58"/>
        <v/>
      </c>
      <c r="H3366" s="29"/>
      <c r="I3366" s="30"/>
      <c r="J3366" s="156">
        <v>0</v>
      </c>
    </row>
    <row r="3367" spans="1:10" ht="15.75" hidden="1" thickBot="1" x14ac:dyDescent="0.3">
      <c r="A3367" s="222"/>
      <c r="B3367" s="225"/>
      <c r="C3367" s="32"/>
      <c r="D3367" s="32"/>
      <c r="E3367" s="33"/>
      <c r="F3367" s="54" t="s">
        <v>572</v>
      </c>
      <c r="G3367" s="54" t="str">
        <f t="shared" si="58"/>
        <v/>
      </c>
      <c r="H3367" s="73"/>
      <c r="I3367" s="74"/>
      <c r="J3367" s="156">
        <v>0</v>
      </c>
    </row>
    <row r="3368" spans="1:10" ht="15.75" hidden="1" thickBot="1" x14ac:dyDescent="0.3">
      <c r="A3368" s="222"/>
      <c r="B3368" s="225"/>
      <c r="C3368" s="36" t="s">
        <v>1077</v>
      </c>
      <c r="D3368" s="36" t="s">
        <v>1053</v>
      </c>
      <c r="E3368" s="37">
        <v>1.04</v>
      </c>
      <c r="F3368" s="54">
        <v>1.2825</v>
      </c>
      <c r="G3368" s="54">
        <f t="shared" si="58"/>
        <v>1.3338000000000001</v>
      </c>
      <c r="H3368" s="39">
        <f>SUM(G3368:G3371)</f>
        <v>39.887903780625003</v>
      </c>
      <c r="I3368" s="40"/>
      <c r="J3368" s="156">
        <v>0</v>
      </c>
    </row>
    <row r="3369" spans="1:10" ht="26.25" hidden="1" thickBot="1" x14ac:dyDescent="0.3">
      <c r="A3369" s="222"/>
      <c r="B3369" s="225"/>
      <c r="C3369" s="36" t="s">
        <v>1078</v>
      </c>
      <c r="D3369" s="36" t="s">
        <v>124</v>
      </c>
      <c r="E3369" s="37">
        <v>3.5000000000000003E-2</v>
      </c>
      <c r="F3369" s="54">
        <v>623.68605087499998</v>
      </c>
      <c r="G3369" s="54">
        <f t="shared" si="58"/>
        <v>21.829011780625002</v>
      </c>
      <c r="H3369" s="73"/>
      <c r="I3369" s="74"/>
      <c r="J3369" s="156">
        <v>0</v>
      </c>
    </row>
    <row r="3370" spans="1:10" ht="15.75" hidden="1" thickBot="1" x14ac:dyDescent="0.3">
      <c r="A3370" s="222"/>
      <c r="B3370" s="225"/>
      <c r="C3370" s="36" t="s">
        <v>22</v>
      </c>
      <c r="D3370" s="36" t="s">
        <v>759</v>
      </c>
      <c r="E3370" s="37">
        <v>0.65900000000000003</v>
      </c>
      <c r="F3370" s="54">
        <v>22.087499999999999</v>
      </c>
      <c r="G3370" s="54">
        <f t="shared" si="58"/>
        <v>14.5556625</v>
      </c>
      <c r="H3370" s="73"/>
      <c r="I3370" s="74"/>
      <c r="J3370" s="156">
        <v>0</v>
      </c>
    </row>
    <row r="3371" spans="1:10" ht="15.75" hidden="1" thickBot="1" x14ac:dyDescent="0.3">
      <c r="A3371" s="222"/>
      <c r="B3371" s="225"/>
      <c r="C3371" s="36" t="s">
        <v>23</v>
      </c>
      <c r="D3371" s="36" t="s">
        <v>759</v>
      </c>
      <c r="E3371" s="37">
        <v>0.13300000000000001</v>
      </c>
      <c r="F3371" s="54">
        <v>16.311500000000002</v>
      </c>
      <c r="G3371" s="54">
        <f t="shared" si="58"/>
        <v>2.1694295000000006</v>
      </c>
      <c r="H3371" s="73"/>
      <c r="I3371" s="74"/>
      <c r="J3371" s="156">
        <v>0</v>
      </c>
    </row>
    <row r="3372" spans="1:10" ht="15.75" hidden="1" thickBot="1" x14ac:dyDescent="0.3">
      <c r="A3372" s="223"/>
      <c r="B3372" s="226"/>
      <c r="C3372" s="36"/>
      <c r="D3372" s="36"/>
      <c r="E3372" s="37"/>
      <c r="F3372" s="54" t="s">
        <v>572</v>
      </c>
      <c r="G3372" s="54" t="str">
        <f t="shared" si="58"/>
        <v/>
      </c>
      <c r="H3372" s="73"/>
      <c r="I3372" s="74"/>
      <c r="J3372" s="156">
        <v>0</v>
      </c>
    </row>
    <row r="3373" spans="1:10" ht="15.75" hidden="1" thickBot="1" x14ac:dyDescent="0.3">
      <c r="A3373" s="221" t="s">
        <v>1079</v>
      </c>
      <c r="B3373" s="224" t="str">
        <f>INDEX(Orçamentária!A:B,MATCH(Composições!A3373,Orçamentária!A:A,0),2)</f>
        <v>Camada de proteção mecânica estruturada de impermeabilização</v>
      </c>
      <c r="C3373" s="41"/>
      <c r="D3373" s="26" t="str">
        <f>TRIM(INDEX(Orçamentária!C:C,MATCH(Composições!A3373,Orçamentária!A:A,0),1))</f>
        <v>m2</v>
      </c>
      <c r="E3373" s="27"/>
      <c r="F3373" s="49" t="s">
        <v>572</v>
      </c>
      <c r="G3373" s="28" t="str">
        <f t="shared" si="58"/>
        <v/>
      </c>
      <c r="H3373" s="29"/>
      <c r="I3373" s="30"/>
      <c r="J3373" s="156">
        <v>0</v>
      </c>
    </row>
    <row r="3374" spans="1:10" ht="15.75" hidden="1" thickBot="1" x14ac:dyDescent="0.3">
      <c r="A3374" s="222"/>
      <c r="B3374" s="225"/>
      <c r="C3374" s="32"/>
      <c r="D3374" s="32"/>
      <c r="E3374" s="33"/>
      <c r="F3374" s="54" t="s">
        <v>572</v>
      </c>
      <c r="G3374" s="54" t="str">
        <f t="shared" si="58"/>
        <v/>
      </c>
      <c r="H3374" s="73"/>
      <c r="I3374" s="74"/>
      <c r="J3374" s="156">
        <v>0</v>
      </c>
    </row>
    <row r="3375" spans="1:10" ht="26.25" hidden="1" thickBot="1" x14ac:dyDescent="0.3">
      <c r="A3375" s="222"/>
      <c r="B3375" s="225"/>
      <c r="C3375" s="36" t="s">
        <v>1080</v>
      </c>
      <c r="D3375" s="36" t="s">
        <v>1053</v>
      </c>
      <c r="E3375" s="37">
        <v>1.05</v>
      </c>
      <c r="F3375" s="54">
        <v>12.254999999999999</v>
      </c>
      <c r="G3375" s="54">
        <f t="shared" si="58"/>
        <v>12.867749999999999</v>
      </c>
      <c r="H3375" s="39">
        <f>SUM(G3375:G3378)</f>
        <v>52.623081280625001</v>
      </c>
      <c r="I3375" s="40"/>
      <c r="J3375" s="156">
        <v>0</v>
      </c>
    </row>
    <row r="3376" spans="1:10" ht="26.25" hidden="1" thickBot="1" x14ac:dyDescent="0.3">
      <c r="A3376" s="222"/>
      <c r="B3376" s="225"/>
      <c r="C3376" s="36" t="s">
        <v>1078</v>
      </c>
      <c r="D3376" s="36" t="s">
        <v>124</v>
      </c>
      <c r="E3376" s="37">
        <v>3.5000000000000003E-2</v>
      </c>
      <c r="F3376" s="54">
        <v>623.68605087499998</v>
      </c>
      <c r="G3376" s="54">
        <f t="shared" si="58"/>
        <v>21.829011780625002</v>
      </c>
      <c r="H3376" s="73"/>
      <c r="I3376" s="74"/>
      <c r="J3376" s="156">
        <v>0</v>
      </c>
    </row>
    <row r="3377" spans="1:10" ht="15.75" hidden="1" thickBot="1" x14ac:dyDescent="0.3">
      <c r="A3377" s="222"/>
      <c r="B3377" s="225"/>
      <c r="C3377" s="36" t="s">
        <v>22</v>
      </c>
      <c r="D3377" s="36" t="s">
        <v>759</v>
      </c>
      <c r="E3377" s="37">
        <v>0.70599999999999996</v>
      </c>
      <c r="F3377" s="54">
        <v>22.087499999999999</v>
      </c>
      <c r="G3377" s="54">
        <f t="shared" si="58"/>
        <v>15.593774999999997</v>
      </c>
      <c r="H3377" s="73"/>
      <c r="I3377" s="74"/>
      <c r="J3377" s="156">
        <v>0</v>
      </c>
    </row>
    <row r="3378" spans="1:10" ht="15.75" hidden="1" thickBot="1" x14ac:dyDescent="0.3">
      <c r="A3378" s="222"/>
      <c r="B3378" s="225"/>
      <c r="C3378" s="36" t="s">
        <v>23</v>
      </c>
      <c r="D3378" s="36" t="s">
        <v>759</v>
      </c>
      <c r="E3378" s="37">
        <v>0.14299999999999999</v>
      </c>
      <c r="F3378" s="54">
        <v>16.311500000000002</v>
      </c>
      <c r="G3378" s="54">
        <f t="shared" si="58"/>
        <v>2.3325445</v>
      </c>
      <c r="H3378" s="73"/>
      <c r="I3378" s="74"/>
      <c r="J3378" s="156">
        <v>0</v>
      </c>
    </row>
    <row r="3379" spans="1:10" ht="15.75" hidden="1" thickBot="1" x14ac:dyDescent="0.3">
      <c r="A3379" s="223"/>
      <c r="B3379" s="226"/>
      <c r="C3379" s="36"/>
      <c r="D3379" s="36"/>
      <c r="E3379" s="37"/>
      <c r="F3379" s="54" t="s">
        <v>572</v>
      </c>
      <c r="G3379" s="54" t="str">
        <f t="shared" si="58"/>
        <v/>
      </c>
      <c r="H3379" s="73"/>
      <c r="I3379" s="74"/>
      <c r="J3379" s="156">
        <v>0</v>
      </c>
    </row>
    <row r="3380" spans="1:10" ht="15.75" hidden="1" thickBot="1" x14ac:dyDescent="0.3">
      <c r="A3380" s="221" t="s">
        <v>1081</v>
      </c>
      <c r="B3380" s="224" t="str">
        <f>INDEX(Orçamentária!A:B,MATCH(Composições!A3380,Orçamentária!A:A,0),2)</f>
        <v>Remoção de placas  de mármore encaixadas por fixadores metálicos (modelo Ed. Principal)</v>
      </c>
      <c r="C3380" s="41"/>
      <c r="D3380" s="26" t="str">
        <f>TRIM(INDEX(Orçamentária!C:C,MATCH(Composições!A3380,Orçamentária!A:A,0),1))</f>
        <v>m2</v>
      </c>
      <c r="E3380" s="27"/>
      <c r="F3380" s="49" t="s">
        <v>572</v>
      </c>
      <c r="G3380" s="28" t="str">
        <f t="shared" si="58"/>
        <v/>
      </c>
      <c r="H3380" s="29"/>
      <c r="I3380" s="30"/>
      <c r="J3380" s="156">
        <v>0</v>
      </c>
    </row>
    <row r="3381" spans="1:10" ht="15.75" hidden="1" thickBot="1" x14ac:dyDescent="0.3">
      <c r="A3381" s="222"/>
      <c r="B3381" s="225"/>
      <c r="C3381" s="32"/>
      <c r="D3381" s="32"/>
      <c r="E3381" s="33"/>
      <c r="F3381" s="54" t="s">
        <v>572</v>
      </c>
      <c r="G3381" s="54" t="str">
        <f t="shared" si="58"/>
        <v/>
      </c>
      <c r="H3381" s="73"/>
      <c r="I3381" s="74"/>
      <c r="J3381" s="156">
        <v>0</v>
      </c>
    </row>
    <row r="3382" spans="1:10" ht="15.75" hidden="1" thickBot="1" x14ac:dyDescent="0.3">
      <c r="A3382" s="222"/>
      <c r="B3382" s="225"/>
      <c r="C3382" s="36" t="s">
        <v>54</v>
      </c>
      <c r="D3382" s="36" t="s">
        <v>12</v>
      </c>
      <c r="E3382" s="37">
        <v>0.4</v>
      </c>
      <c r="F3382" s="54">
        <v>18.420500000000001</v>
      </c>
      <c r="G3382" s="54">
        <f t="shared" si="58"/>
        <v>7.3682000000000007</v>
      </c>
      <c r="H3382" s="39">
        <f>SUM(G3382:G3383)</f>
        <v>13.892800000000001</v>
      </c>
      <c r="I3382" s="40"/>
      <c r="J3382" s="156">
        <v>0</v>
      </c>
    </row>
    <row r="3383" spans="1:10" ht="15.75" hidden="1" thickBot="1" x14ac:dyDescent="0.3">
      <c r="A3383" s="222"/>
      <c r="B3383" s="225"/>
      <c r="C3383" s="36" t="s">
        <v>23</v>
      </c>
      <c r="D3383" s="36" t="s">
        <v>12</v>
      </c>
      <c r="E3383" s="37">
        <v>0.4</v>
      </c>
      <c r="F3383" s="54">
        <v>16.311500000000002</v>
      </c>
      <c r="G3383" s="54">
        <f t="shared" si="58"/>
        <v>6.5246000000000013</v>
      </c>
      <c r="H3383" s="73"/>
      <c r="I3383" s="74"/>
      <c r="J3383" s="156">
        <v>0</v>
      </c>
    </row>
    <row r="3384" spans="1:10" ht="15.75" hidden="1" thickBot="1" x14ac:dyDescent="0.3">
      <c r="A3384" s="223"/>
      <c r="B3384" s="226"/>
      <c r="C3384" s="36"/>
      <c r="D3384" s="36"/>
      <c r="E3384" s="37"/>
      <c r="F3384" s="54" t="s">
        <v>572</v>
      </c>
      <c r="G3384" s="54" t="str">
        <f t="shared" si="58"/>
        <v/>
      </c>
      <c r="H3384" s="73"/>
      <c r="I3384" s="74"/>
      <c r="J3384" s="156">
        <v>0</v>
      </c>
    </row>
    <row r="3385" spans="1:10" ht="15.75" hidden="1" thickBot="1" x14ac:dyDescent="0.3">
      <c r="A3385" s="221" t="s">
        <v>1082</v>
      </c>
      <c r="B3385" s="224" t="str">
        <f>INDEX(Orçamentária!A:B,MATCH(Composições!A3385,Orçamentária!A:A,0),2)</f>
        <v>Remoção de placas de rocha ornamental argamassada, para reaproveitamento</v>
      </c>
      <c r="C3385" s="41"/>
      <c r="D3385" s="26" t="str">
        <f>TRIM(INDEX(Orçamentária!C:C,MATCH(Composições!A3385,Orçamentária!A:A,0),1))</f>
        <v>m2</v>
      </c>
      <c r="E3385" s="27"/>
      <c r="F3385" s="49" t="s">
        <v>572</v>
      </c>
      <c r="G3385" s="28" t="str">
        <f t="shared" si="58"/>
        <v/>
      </c>
      <c r="H3385" s="29"/>
      <c r="I3385" s="30"/>
      <c r="J3385" s="156">
        <v>0</v>
      </c>
    </row>
    <row r="3386" spans="1:10" ht="15.75" hidden="1" thickBot="1" x14ac:dyDescent="0.3">
      <c r="A3386" s="222"/>
      <c r="B3386" s="225"/>
      <c r="C3386" s="32"/>
      <c r="D3386" s="32"/>
      <c r="E3386" s="33"/>
      <c r="F3386" s="54" t="s">
        <v>572</v>
      </c>
      <c r="G3386" s="54" t="str">
        <f t="shared" si="58"/>
        <v/>
      </c>
      <c r="H3386" s="73"/>
      <c r="I3386" s="74"/>
      <c r="J3386" s="156">
        <v>0</v>
      </c>
    </row>
    <row r="3387" spans="1:10" ht="15.75" hidden="1" thickBot="1" x14ac:dyDescent="0.3">
      <c r="A3387" s="222"/>
      <c r="B3387" s="225"/>
      <c r="C3387" s="36" t="s">
        <v>54</v>
      </c>
      <c r="D3387" s="36" t="s">
        <v>12</v>
      </c>
      <c r="E3387" s="37">
        <v>1.2</v>
      </c>
      <c r="F3387" s="54">
        <v>18.420500000000001</v>
      </c>
      <c r="G3387" s="54">
        <f t="shared" si="58"/>
        <v>22.104600000000001</v>
      </c>
      <c r="H3387" s="39">
        <f>SUM(G3387:G3388)</f>
        <v>41.678400000000003</v>
      </c>
      <c r="I3387" s="40"/>
      <c r="J3387" s="156">
        <v>0</v>
      </c>
    </row>
    <row r="3388" spans="1:10" ht="15.75" hidden="1" thickBot="1" x14ac:dyDescent="0.3">
      <c r="A3388" s="222"/>
      <c r="B3388" s="225"/>
      <c r="C3388" s="36" t="s">
        <v>23</v>
      </c>
      <c r="D3388" s="36" t="s">
        <v>12</v>
      </c>
      <c r="E3388" s="37">
        <v>1.2</v>
      </c>
      <c r="F3388" s="54">
        <v>16.311500000000002</v>
      </c>
      <c r="G3388" s="54">
        <f t="shared" si="58"/>
        <v>19.573800000000002</v>
      </c>
      <c r="H3388" s="73"/>
      <c r="I3388" s="74"/>
      <c r="J3388" s="156">
        <v>0</v>
      </c>
    </row>
    <row r="3389" spans="1:10" ht="15.75" hidden="1" thickBot="1" x14ac:dyDescent="0.3">
      <c r="A3389" s="223"/>
      <c r="B3389" s="226"/>
      <c r="C3389" s="36"/>
      <c r="D3389" s="36"/>
      <c r="E3389" s="37"/>
      <c r="F3389" s="54" t="s">
        <v>572</v>
      </c>
      <c r="G3389" s="54" t="str">
        <f t="shared" si="58"/>
        <v/>
      </c>
      <c r="H3389" s="73"/>
      <c r="I3389" s="74"/>
      <c r="J3389" s="156">
        <v>0</v>
      </c>
    </row>
    <row r="3390" spans="1:10" ht="15.75" hidden="1" thickBot="1" x14ac:dyDescent="0.3">
      <c r="A3390" s="221" t="s">
        <v>1083</v>
      </c>
      <c r="B3390" s="224" t="str">
        <f>INDEX(Orçamentária!A:B,MATCH(Composições!A3390,Orçamentária!A:A,0),2)</f>
        <v>Identificação e acondicionamento de placas de rocha ornamental</v>
      </c>
      <c r="C3390" s="41"/>
      <c r="D3390" s="26" t="str">
        <f>TRIM(INDEX(Orçamentária!C:C,MATCH(Composições!A3390,Orçamentária!A:A,0),1))</f>
        <v>m2</v>
      </c>
      <c r="E3390" s="27"/>
      <c r="F3390" s="49" t="s">
        <v>572</v>
      </c>
      <c r="G3390" s="28" t="str">
        <f t="shared" si="58"/>
        <v/>
      </c>
      <c r="H3390" s="29"/>
      <c r="I3390" s="30"/>
      <c r="J3390" s="156">
        <v>0</v>
      </c>
    </row>
    <row r="3391" spans="1:10" ht="15.75" hidden="1" thickBot="1" x14ac:dyDescent="0.3">
      <c r="A3391" s="222"/>
      <c r="B3391" s="225"/>
      <c r="C3391" s="32"/>
      <c r="D3391" s="32"/>
      <c r="E3391" s="33"/>
      <c r="F3391" s="54" t="s">
        <v>572</v>
      </c>
      <c r="G3391" s="54" t="str">
        <f t="shared" si="58"/>
        <v/>
      </c>
      <c r="H3391" s="73"/>
      <c r="I3391" s="74"/>
      <c r="J3391" s="156">
        <v>0</v>
      </c>
    </row>
    <row r="3392" spans="1:10" ht="15.75" hidden="1" thickBot="1" x14ac:dyDescent="0.3">
      <c r="A3392" s="222"/>
      <c r="B3392" s="225"/>
      <c r="C3392" s="36" t="s">
        <v>1084</v>
      </c>
      <c r="D3392" s="36" t="s">
        <v>96</v>
      </c>
      <c r="E3392" s="37">
        <v>1.05</v>
      </c>
      <c r="F3392" s="54">
        <v>3.3914999999999997</v>
      </c>
      <c r="G3392" s="54">
        <f t="shared" si="58"/>
        <v>3.5610749999999998</v>
      </c>
      <c r="H3392" s="39">
        <f>SUM(G3392:G3393)</f>
        <v>6.8233750000000004</v>
      </c>
      <c r="I3392" s="40"/>
      <c r="J3392" s="156">
        <v>0</v>
      </c>
    </row>
    <row r="3393" spans="1:10" ht="15.75" hidden="1" thickBot="1" x14ac:dyDescent="0.3">
      <c r="A3393" s="222"/>
      <c r="B3393" s="225"/>
      <c r="C3393" s="36" t="s">
        <v>23</v>
      </c>
      <c r="D3393" s="36" t="s">
        <v>12</v>
      </c>
      <c r="E3393" s="37">
        <v>0.2</v>
      </c>
      <c r="F3393" s="54">
        <v>16.311500000000002</v>
      </c>
      <c r="G3393" s="54">
        <f t="shared" si="58"/>
        <v>3.2623000000000006</v>
      </c>
      <c r="H3393" s="73"/>
      <c r="I3393" s="74"/>
      <c r="J3393" s="156">
        <v>0</v>
      </c>
    </row>
    <row r="3394" spans="1:10" ht="15.75" hidden="1" thickBot="1" x14ac:dyDescent="0.3">
      <c r="A3394" s="223"/>
      <c r="B3394" s="226"/>
      <c r="C3394" s="36"/>
      <c r="D3394" s="36"/>
      <c r="E3394" s="37"/>
      <c r="F3394" s="54" t="s">
        <v>572</v>
      </c>
      <c r="G3394" s="54" t="str">
        <f t="shared" si="58"/>
        <v/>
      </c>
      <c r="H3394" s="73"/>
      <c r="I3394" s="74"/>
      <c r="J3394" s="156">
        <v>0</v>
      </c>
    </row>
    <row r="3395" spans="1:10" ht="15.75" hidden="1" thickBot="1" x14ac:dyDescent="0.3">
      <c r="A3395" s="221" t="s">
        <v>1085</v>
      </c>
      <c r="B3395" s="224" t="str">
        <f>INDEX(Orçamentária!A:B,MATCH(Composições!A3395,Orçamentária!A:A,0),2)</f>
        <v>Limpeza de placas de rocha ornamental argamassada, para reaproveitamento</v>
      </c>
      <c r="C3395" s="41"/>
      <c r="D3395" s="26" t="str">
        <f>TRIM(INDEX(Orçamentária!C:C,MATCH(Composições!A3395,Orçamentária!A:A,0),1))</f>
        <v>m2</v>
      </c>
      <c r="E3395" s="27"/>
      <c r="F3395" s="49" t="s">
        <v>572</v>
      </c>
      <c r="G3395" s="28" t="str">
        <f t="shared" si="58"/>
        <v/>
      </c>
      <c r="H3395" s="29"/>
      <c r="I3395" s="30"/>
      <c r="J3395" s="156">
        <v>0</v>
      </c>
    </row>
    <row r="3396" spans="1:10" ht="15.75" hidden="1" thickBot="1" x14ac:dyDescent="0.3">
      <c r="A3396" s="222"/>
      <c r="B3396" s="225"/>
      <c r="C3396" s="32"/>
      <c r="D3396" s="32"/>
      <c r="E3396" s="33"/>
      <c r="F3396" s="54" t="s">
        <v>572</v>
      </c>
      <c r="G3396" s="54" t="str">
        <f t="shared" si="58"/>
        <v/>
      </c>
      <c r="H3396" s="73"/>
      <c r="I3396" s="74"/>
      <c r="J3396" s="156">
        <v>0</v>
      </c>
    </row>
    <row r="3397" spans="1:10" ht="15.75" hidden="1" thickBot="1" x14ac:dyDescent="0.3">
      <c r="A3397" s="222"/>
      <c r="B3397" s="225"/>
      <c r="C3397" s="36" t="s">
        <v>23</v>
      </c>
      <c r="D3397" s="36" t="s">
        <v>12</v>
      </c>
      <c r="E3397" s="37">
        <v>0.3</v>
      </c>
      <c r="F3397" s="54">
        <v>16.311500000000002</v>
      </c>
      <c r="G3397" s="54">
        <f t="shared" si="58"/>
        <v>4.8934500000000005</v>
      </c>
      <c r="H3397" s="39">
        <f>SUM(G3397)</f>
        <v>4.8934500000000005</v>
      </c>
      <c r="I3397" s="40"/>
      <c r="J3397" s="156">
        <v>0</v>
      </c>
    </row>
    <row r="3398" spans="1:10" ht="15.75" hidden="1" thickBot="1" x14ac:dyDescent="0.3">
      <c r="A3398" s="223"/>
      <c r="B3398" s="226"/>
      <c r="C3398" s="36"/>
      <c r="D3398" s="36"/>
      <c r="E3398" s="37"/>
      <c r="F3398" s="54" t="s">
        <v>572</v>
      </c>
      <c r="G3398" s="54" t="str">
        <f t="shared" si="58"/>
        <v/>
      </c>
      <c r="H3398" s="73"/>
      <c r="I3398" s="74"/>
      <c r="J3398" s="156">
        <v>0</v>
      </c>
    </row>
    <row r="3399" spans="1:10" ht="15.75" hidden="1" thickBot="1" x14ac:dyDescent="0.3">
      <c r="A3399" s="221" t="s">
        <v>1086</v>
      </c>
      <c r="B3399" s="224" t="str">
        <f>INDEX(Orçamentária!A:B,MATCH(Composições!A3399,Orçamentária!A:A,0),2)</f>
        <v>Remoção e acondicionamento de fixadores metálicos para placas de mármore em fachada (modelo Ed. Principal)</v>
      </c>
      <c r="C3399" s="41"/>
      <c r="D3399" s="26" t="str">
        <f>TRIM(INDEX(Orçamentária!C:C,MATCH(Composições!A3399,Orçamentária!A:A,0),1))</f>
        <v>un</v>
      </c>
      <c r="E3399" s="27"/>
      <c r="F3399" s="49" t="s">
        <v>572</v>
      </c>
      <c r="G3399" s="28" t="str">
        <f t="shared" si="58"/>
        <v/>
      </c>
      <c r="H3399" s="29"/>
      <c r="I3399" s="30"/>
      <c r="J3399" s="156">
        <v>0</v>
      </c>
    </row>
    <row r="3400" spans="1:10" ht="15.75" hidden="1" thickBot="1" x14ac:dyDescent="0.3">
      <c r="A3400" s="222"/>
      <c r="B3400" s="225"/>
      <c r="C3400" s="32"/>
      <c r="D3400" s="32"/>
      <c r="E3400" s="33"/>
      <c r="F3400" s="54" t="s">
        <v>572</v>
      </c>
      <c r="G3400" s="54" t="str">
        <f t="shared" si="58"/>
        <v/>
      </c>
      <c r="H3400" s="73"/>
      <c r="I3400" s="74"/>
      <c r="J3400" s="156">
        <v>0</v>
      </c>
    </row>
    <row r="3401" spans="1:10" ht="15.75" hidden="1" thickBot="1" x14ac:dyDescent="0.3">
      <c r="A3401" s="222"/>
      <c r="B3401" s="225"/>
      <c r="C3401" s="36" t="s">
        <v>23</v>
      </c>
      <c r="D3401" s="36" t="s">
        <v>12</v>
      </c>
      <c r="E3401" s="37">
        <v>0.1</v>
      </c>
      <c r="F3401" s="54">
        <v>16.311500000000002</v>
      </c>
      <c r="G3401" s="54">
        <f t="shared" si="58"/>
        <v>1.6311500000000003</v>
      </c>
      <c r="H3401" s="39">
        <f>SUM(G3401)</f>
        <v>1.6311500000000003</v>
      </c>
      <c r="I3401" s="40"/>
      <c r="J3401" s="156">
        <v>0</v>
      </c>
    </row>
    <row r="3402" spans="1:10" ht="15.75" hidden="1" thickBot="1" x14ac:dyDescent="0.3">
      <c r="A3402" s="223"/>
      <c r="B3402" s="226"/>
      <c r="C3402" s="36"/>
      <c r="D3402" s="36"/>
      <c r="E3402" s="37"/>
      <c r="F3402" s="54" t="s">
        <v>572</v>
      </c>
      <c r="G3402" s="54" t="str">
        <f t="shared" si="58"/>
        <v/>
      </c>
      <c r="H3402" s="73"/>
      <c r="I3402" s="74"/>
      <c r="J3402" s="156">
        <v>0</v>
      </c>
    </row>
    <row r="3403" spans="1:10" ht="15.75" hidden="1" thickBot="1" x14ac:dyDescent="0.3">
      <c r="A3403" s="221" t="s">
        <v>1087</v>
      </c>
      <c r="B3403" s="224" t="str">
        <f>INDEX(Orçamentária!A:B,MATCH(Composições!A3403,Orçamentária!A:A,0),2)</f>
        <v>Instalação de fixadores metálicos para placas de mármore em fachada reaproveitados (modelo Ed. Principal)</v>
      </c>
      <c r="C3403" s="41"/>
      <c r="D3403" s="26" t="str">
        <f>TRIM(INDEX(Orçamentária!C:C,MATCH(Composições!A3403,Orçamentária!A:A,0),1))</f>
        <v>un</v>
      </c>
      <c r="E3403" s="27"/>
      <c r="F3403" s="49" t="s">
        <v>572</v>
      </c>
      <c r="G3403" s="28" t="str">
        <f t="shared" si="58"/>
        <v/>
      </c>
      <c r="H3403" s="29"/>
      <c r="I3403" s="30"/>
      <c r="J3403" s="156">
        <v>0</v>
      </c>
    </row>
    <row r="3404" spans="1:10" ht="15.75" hidden="1" thickBot="1" x14ac:dyDescent="0.3">
      <c r="A3404" s="222"/>
      <c r="B3404" s="225"/>
      <c r="C3404" s="32"/>
      <c r="D3404" s="32"/>
      <c r="E3404" s="33"/>
      <c r="F3404" s="54" t="s">
        <v>572</v>
      </c>
      <c r="G3404" s="54" t="str">
        <f t="shared" si="58"/>
        <v/>
      </c>
      <c r="H3404" s="73"/>
      <c r="I3404" s="74"/>
      <c r="J3404" s="156">
        <v>0</v>
      </c>
    </row>
    <row r="3405" spans="1:10" ht="15.75" hidden="1" thickBot="1" x14ac:dyDescent="0.3">
      <c r="A3405" s="222"/>
      <c r="B3405" s="225"/>
      <c r="C3405" s="36" t="s">
        <v>22</v>
      </c>
      <c r="D3405" s="36" t="s">
        <v>12</v>
      </c>
      <c r="E3405" s="37">
        <f>0.1+0.1</f>
        <v>0.2</v>
      </c>
      <c r="F3405" s="54">
        <v>22.087499999999999</v>
      </c>
      <c r="G3405" s="54">
        <f t="shared" si="58"/>
        <v>4.4174999999999995</v>
      </c>
      <c r="H3405" s="39">
        <f>SUM(G3405:G3409)</f>
        <v>7.8567408254940005</v>
      </c>
      <c r="I3405" s="40"/>
      <c r="J3405" s="156">
        <v>0</v>
      </c>
    </row>
    <row r="3406" spans="1:10" ht="15.75" hidden="1" thickBot="1" x14ac:dyDescent="0.3">
      <c r="A3406" s="222"/>
      <c r="B3406" s="225"/>
      <c r="C3406" s="36" t="s">
        <v>23</v>
      </c>
      <c r="D3406" s="36" t="s">
        <v>12</v>
      </c>
      <c r="E3406" s="37">
        <f>0.1+0.1</f>
        <v>0.2</v>
      </c>
      <c r="F3406" s="54">
        <v>16.311500000000002</v>
      </c>
      <c r="G3406" s="54">
        <f t="shared" si="58"/>
        <v>3.2623000000000006</v>
      </c>
      <c r="H3406" s="73"/>
      <c r="I3406" s="74"/>
      <c r="J3406" s="156">
        <v>0</v>
      </c>
    </row>
    <row r="3407" spans="1:10" ht="15.75" hidden="1" thickBot="1" x14ac:dyDescent="0.3">
      <c r="A3407" s="222"/>
      <c r="B3407" s="225"/>
      <c r="C3407" s="36" t="s">
        <v>1088</v>
      </c>
      <c r="D3407" s="36" t="s">
        <v>150</v>
      </c>
      <c r="E3407" s="37">
        <f>0.016*2</f>
        <v>3.2000000000000001E-2</v>
      </c>
      <c r="F3407" s="54">
        <v>0</v>
      </c>
      <c r="G3407" s="54">
        <f t="shared" si="58"/>
        <v>0</v>
      </c>
      <c r="H3407" s="73"/>
      <c r="I3407" s="74"/>
      <c r="J3407" s="156">
        <v>0</v>
      </c>
    </row>
    <row r="3408" spans="1:10" ht="15.75" hidden="1" thickBot="1" x14ac:dyDescent="0.3">
      <c r="A3408" s="222"/>
      <c r="B3408" s="225"/>
      <c r="C3408" s="36" t="s">
        <v>1089</v>
      </c>
      <c r="D3408" s="36" t="s">
        <v>1090</v>
      </c>
      <c r="E3408" s="37">
        <f>0.1*2</f>
        <v>0.2</v>
      </c>
      <c r="F3408" s="54">
        <v>0</v>
      </c>
      <c r="G3408" s="54">
        <f t="shared" si="58"/>
        <v>0</v>
      </c>
      <c r="H3408" s="73"/>
      <c r="I3408" s="74"/>
      <c r="J3408" s="156">
        <v>0</v>
      </c>
    </row>
    <row r="3409" spans="1:10" ht="39" hidden="1" thickBot="1" x14ac:dyDescent="0.3">
      <c r="A3409" s="222"/>
      <c r="B3409" s="225"/>
      <c r="C3409" s="36" t="s">
        <v>1091</v>
      </c>
      <c r="D3409" s="36" t="s">
        <v>112</v>
      </c>
      <c r="E3409" s="37">
        <f>ROUND(0.15*0.05*0.05,4)</f>
        <v>4.0000000000000002E-4</v>
      </c>
      <c r="F3409" s="54">
        <v>442.352063735</v>
      </c>
      <c r="G3409" s="54">
        <f t="shared" si="58"/>
        <v>0.176940825494</v>
      </c>
      <c r="H3409" s="73"/>
      <c r="I3409" s="74"/>
      <c r="J3409" s="156">
        <v>0</v>
      </c>
    </row>
    <row r="3410" spans="1:10" ht="15.75" hidden="1" thickBot="1" x14ac:dyDescent="0.3">
      <c r="A3410" s="222"/>
      <c r="B3410" s="225"/>
      <c r="C3410" s="36"/>
      <c r="D3410" s="36"/>
      <c r="E3410" s="37"/>
      <c r="F3410" s="54" t="s">
        <v>572</v>
      </c>
      <c r="G3410" s="54" t="str">
        <f t="shared" ref="G3410:G3473" si="59">IF(ISNUMBER(F3410),E3410*F3410,"")</f>
        <v/>
      </c>
      <c r="H3410" s="73"/>
      <c r="I3410" s="74"/>
      <c r="J3410" s="156">
        <v>0</v>
      </c>
    </row>
    <row r="3411" spans="1:10" ht="15.75" hidden="1" thickBot="1" x14ac:dyDescent="0.3">
      <c r="A3411" s="222"/>
      <c r="B3411" s="225"/>
      <c r="C3411" s="153" t="s">
        <v>1092</v>
      </c>
      <c r="D3411" s="36"/>
      <c r="E3411" s="37"/>
      <c r="F3411" s="54" t="s">
        <v>572</v>
      </c>
      <c r="G3411" s="54" t="str">
        <f t="shared" si="59"/>
        <v/>
      </c>
      <c r="H3411" s="73"/>
      <c r="I3411" s="74"/>
      <c r="J3411" s="156">
        <v>0</v>
      </c>
    </row>
    <row r="3412" spans="1:10" ht="15.75" hidden="1" thickBot="1" x14ac:dyDescent="0.3">
      <c r="A3412" s="223"/>
      <c r="B3412" s="226"/>
      <c r="C3412" s="36"/>
      <c r="D3412" s="36"/>
      <c r="E3412" s="37"/>
      <c r="F3412" s="54" t="s">
        <v>572</v>
      </c>
      <c r="G3412" s="54" t="str">
        <f t="shared" si="59"/>
        <v/>
      </c>
      <c r="H3412" s="73"/>
      <c r="I3412" s="74"/>
      <c r="J3412" s="156">
        <v>0</v>
      </c>
    </row>
    <row r="3413" spans="1:10" ht="15.75" hidden="1" thickBot="1" x14ac:dyDescent="0.3">
      <c r="A3413" s="221" t="s">
        <v>1093</v>
      </c>
      <c r="B3413" s="224" t="str">
        <f>INDEX(Orçamentária!A:B,MATCH(Composições!A3413,Orçamentária!A:A,0),2)</f>
        <v>Fixadores metálicos para rochas ornamentais (tipo Ed. Principal, peça superior)</v>
      </c>
      <c r="C3413" s="41"/>
      <c r="D3413" s="26" t="str">
        <f>TRIM(INDEX(Orçamentária!C:C,MATCH(Composições!A3413,Orçamentária!A:A,0),1))</f>
        <v>un</v>
      </c>
      <c r="E3413" s="27"/>
      <c r="F3413" s="49" t="s">
        <v>572</v>
      </c>
      <c r="G3413" s="28" t="str">
        <f t="shared" si="59"/>
        <v/>
      </c>
      <c r="H3413" s="29"/>
      <c r="I3413" s="30"/>
      <c r="J3413" s="156">
        <v>0</v>
      </c>
    </row>
    <row r="3414" spans="1:10" ht="15.75" hidden="1" thickBot="1" x14ac:dyDescent="0.3">
      <c r="A3414" s="222"/>
      <c r="B3414" s="225"/>
      <c r="C3414" s="32"/>
      <c r="D3414" s="32"/>
      <c r="E3414" s="33"/>
      <c r="F3414" s="54" t="s">
        <v>572</v>
      </c>
      <c r="G3414" s="54" t="str">
        <f t="shared" si="59"/>
        <v/>
      </c>
      <c r="H3414" s="73"/>
      <c r="I3414" s="74"/>
      <c r="J3414" s="156">
        <v>0</v>
      </c>
    </row>
    <row r="3415" spans="1:10" ht="15.75" hidden="1" thickBot="1" x14ac:dyDescent="0.3">
      <c r="A3415" s="222"/>
      <c r="B3415" s="225"/>
      <c r="C3415" s="36" t="s">
        <v>22</v>
      </c>
      <c r="D3415" s="36" t="s">
        <v>12</v>
      </c>
      <c r="E3415" s="37">
        <f>0.1+0.1</f>
        <v>0.2</v>
      </c>
      <c r="F3415" s="54">
        <v>22.087499999999999</v>
      </c>
      <c r="G3415" s="54">
        <f t="shared" si="59"/>
        <v>4.4174999999999995</v>
      </c>
      <c r="H3415" s="39">
        <f>SUM(G3415:G3420)</f>
        <v>7.8567408254940005</v>
      </c>
      <c r="I3415" s="40"/>
      <c r="J3415" s="156">
        <v>0</v>
      </c>
    </row>
    <row r="3416" spans="1:10" ht="15.75" hidden="1" thickBot="1" x14ac:dyDescent="0.3">
      <c r="A3416" s="222"/>
      <c r="B3416" s="225"/>
      <c r="C3416" s="36" t="s">
        <v>23</v>
      </c>
      <c r="D3416" s="36" t="s">
        <v>12</v>
      </c>
      <c r="E3416" s="37">
        <f>0.1+0.1</f>
        <v>0.2</v>
      </c>
      <c r="F3416" s="54">
        <v>16.311500000000002</v>
      </c>
      <c r="G3416" s="54">
        <f t="shared" si="59"/>
        <v>3.2623000000000006</v>
      </c>
      <c r="H3416" s="73"/>
      <c r="I3416" s="74"/>
      <c r="J3416" s="156">
        <v>0</v>
      </c>
    </row>
    <row r="3417" spans="1:10" ht="15.75" hidden="1" thickBot="1" x14ac:dyDescent="0.3">
      <c r="A3417" s="222"/>
      <c r="B3417" s="225"/>
      <c r="C3417" s="36" t="s">
        <v>1088</v>
      </c>
      <c r="D3417" s="36" t="s">
        <v>150</v>
      </c>
      <c r="E3417" s="37">
        <f>0.016*2</f>
        <v>3.2000000000000001E-2</v>
      </c>
      <c r="F3417" s="54">
        <v>0</v>
      </c>
      <c r="G3417" s="54">
        <f t="shared" si="59"/>
        <v>0</v>
      </c>
      <c r="H3417" s="73"/>
      <c r="I3417" s="74"/>
      <c r="J3417" s="156">
        <v>0</v>
      </c>
    </row>
    <row r="3418" spans="1:10" ht="15.75" hidden="1" thickBot="1" x14ac:dyDescent="0.3">
      <c r="A3418" s="222"/>
      <c r="B3418" s="225"/>
      <c r="C3418" s="36" t="s">
        <v>1089</v>
      </c>
      <c r="D3418" s="36" t="s">
        <v>1090</v>
      </c>
      <c r="E3418" s="37">
        <f>0.1*2</f>
        <v>0.2</v>
      </c>
      <c r="F3418" s="54">
        <v>0</v>
      </c>
      <c r="G3418" s="54">
        <f t="shared" si="59"/>
        <v>0</v>
      </c>
      <c r="H3418" s="73"/>
      <c r="I3418" s="74"/>
      <c r="J3418" s="156">
        <v>0</v>
      </c>
    </row>
    <row r="3419" spans="1:10" ht="15.75" hidden="1" thickBot="1" x14ac:dyDescent="0.3">
      <c r="A3419" s="222"/>
      <c r="B3419" s="225"/>
      <c r="C3419" s="36" t="s">
        <v>1094</v>
      </c>
      <c r="D3419" s="36" t="s">
        <v>150</v>
      </c>
      <c r="E3419" s="37">
        <v>1</v>
      </c>
      <c r="F3419" s="54" t="s">
        <v>572</v>
      </c>
      <c r="G3419" s="54" t="str">
        <f t="shared" si="59"/>
        <v/>
      </c>
      <c r="H3419" s="73"/>
      <c r="I3419" s="74"/>
      <c r="J3419" s="156">
        <v>0</v>
      </c>
    </row>
    <row r="3420" spans="1:10" ht="39" hidden="1" thickBot="1" x14ac:dyDescent="0.3">
      <c r="A3420" s="222"/>
      <c r="B3420" s="225"/>
      <c r="C3420" s="36" t="s">
        <v>1091</v>
      </c>
      <c r="D3420" s="36" t="s">
        <v>112</v>
      </c>
      <c r="E3420" s="37">
        <f>ROUND(0.15*0.05*0.05,4)</f>
        <v>4.0000000000000002E-4</v>
      </c>
      <c r="F3420" s="54">
        <v>442.352063735</v>
      </c>
      <c r="G3420" s="54">
        <f t="shared" si="59"/>
        <v>0.176940825494</v>
      </c>
      <c r="H3420" s="73"/>
      <c r="I3420" s="74"/>
      <c r="J3420" s="156">
        <v>0</v>
      </c>
    </row>
    <row r="3421" spans="1:10" ht="15.75" hidden="1" thickBot="1" x14ac:dyDescent="0.3">
      <c r="A3421" s="222"/>
      <c r="B3421" s="225"/>
      <c r="C3421" s="36"/>
      <c r="D3421" s="36"/>
      <c r="E3421" s="37"/>
      <c r="F3421" s="54" t="s">
        <v>572</v>
      </c>
      <c r="G3421" s="54" t="str">
        <f t="shared" si="59"/>
        <v/>
      </c>
      <c r="H3421" s="73"/>
      <c r="I3421" s="74"/>
      <c r="J3421" s="156">
        <v>0</v>
      </c>
    </row>
    <row r="3422" spans="1:10" ht="15.75" hidden="1" thickBot="1" x14ac:dyDescent="0.3">
      <c r="A3422" s="222"/>
      <c r="B3422" s="225"/>
      <c r="C3422" s="153" t="s">
        <v>1092</v>
      </c>
      <c r="D3422" s="36"/>
      <c r="E3422" s="37"/>
      <c r="F3422" s="54" t="s">
        <v>572</v>
      </c>
      <c r="G3422" s="54" t="str">
        <f t="shared" si="59"/>
        <v/>
      </c>
      <c r="H3422" s="73"/>
      <c r="I3422" s="74"/>
      <c r="J3422" s="156">
        <v>0</v>
      </c>
    </row>
    <row r="3423" spans="1:10" ht="15.75" hidden="1" thickBot="1" x14ac:dyDescent="0.3">
      <c r="A3423" s="223"/>
      <c r="B3423" s="226"/>
      <c r="C3423" s="36"/>
      <c r="D3423" s="36"/>
      <c r="E3423" s="37"/>
      <c r="F3423" s="54" t="s">
        <v>572</v>
      </c>
      <c r="G3423" s="54" t="str">
        <f t="shared" si="59"/>
        <v/>
      </c>
      <c r="H3423" s="73"/>
      <c r="I3423" s="74"/>
      <c r="J3423" s="156">
        <v>0</v>
      </c>
    </row>
    <row r="3424" spans="1:10" ht="15.75" hidden="1" thickBot="1" x14ac:dyDescent="0.3">
      <c r="A3424" s="221" t="s">
        <v>1095</v>
      </c>
      <c r="B3424" s="224" t="str">
        <f>INDEX(Orçamentária!A:B,MATCH(Composições!A3424,Orçamentária!A:A,0),2)</f>
        <v>Mármore Branco Especial 20mm argamassado (Ed. Principal e Anexo 1)</v>
      </c>
      <c r="C3424" s="41"/>
      <c r="D3424" s="26" t="str">
        <f>TRIM(INDEX(Orçamentária!C:C,MATCH(Composições!A3424,Orçamentária!A:A,0),1))</f>
        <v>m2</v>
      </c>
      <c r="E3424" s="27"/>
      <c r="F3424" s="49" t="s">
        <v>572</v>
      </c>
      <c r="G3424" s="28" t="str">
        <f t="shared" si="59"/>
        <v/>
      </c>
      <c r="H3424" s="29"/>
      <c r="I3424" s="30"/>
      <c r="J3424" s="156">
        <v>0</v>
      </c>
    </row>
    <row r="3425" spans="1:10" ht="15.75" hidden="1" thickBot="1" x14ac:dyDescent="0.3">
      <c r="A3425" s="222"/>
      <c r="B3425" s="225"/>
      <c r="C3425" s="32"/>
      <c r="D3425" s="32"/>
      <c r="E3425" s="33"/>
      <c r="F3425" s="54" t="s">
        <v>572</v>
      </c>
      <c r="G3425" s="54" t="str">
        <f t="shared" si="59"/>
        <v/>
      </c>
      <c r="H3425" s="73"/>
      <c r="I3425" s="74"/>
      <c r="J3425" s="156">
        <v>0</v>
      </c>
    </row>
    <row r="3426" spans="1:10" ht="15.75" hidden="1" thickBot="1" x14ac:dyDescent="0.3">
      <c r="A3426" s="222"/>
      <c r="B3426" s="225"/>
      <c r="C3426" s="36" t="s">
        <v>1096</v>
      </c>
      <c r="D3426" s="36" t="s">
        <v>96</v>
      </c>
      <c r="E3426" s="37">
        <v>1.05</v>
      </c>
      <c r="F3426" s="54" t="s">
        <v>572</v>
      </c>
      <c r="G3426" s="54" t="str">
        <f t="shared" si="59"/>
        <v/>
      </c>
      <c r="H3426" s="39">
        <f>SUM(G3426:G3430)</f>
        <v>41.306474999999999</v>
      </c>
      <c r="I3426" s="40"/>
      <c r="J3426" s="156">
        <v>0</v>
      </c>
    </row>
    <row r="3427" spans="1:10" ht="15.75" hidden="1" thickBot="1" x14ac:dyDescent="0.3">
      <c r="A3427" s="222"/>
      <c r="B3427" s="225"/>
      <c r="C3427" s="36" t="s">
        <v>54</v>
      </c>
      <c r="D3427" s="36" t="s">
        <v>12</v>
      </c>
      <c r="E3427" s="37">
        <v>1.35</v>
      </c>
      <c r="F3427" s="54">
        <v>18.420500000000001</v>
      </c>
      <c r="G3427" s="54">
        <f t="shared" si="59"/>
        <v>24.867675000000002</v>
      </c>
      <c r="H3427" s="73"/>
      <c r="I3427" s="74"/>
      <c r="J3427" s="156">
        <v>0</v>
      </c>
    </row>
    <row r="3428" spans="1:10" ht="15.75" hidden="1" thickBot="1" x14ac:dyDescent="0.3">
      <c r="A3428" s="222"/>
      <c r="B3428" s="225"/>
      <c r="C3428" s="36" t="s">
        <v>23</v>
      </c>
      <c r="D3428" s="36" t="s">
        <v>12</v>
      </c>
      <c r="E3428" s="37">
        <v>0.6</v>
      </c>
      <c r="F3428" s="54">
        <v>16.311500000000002</v>
      </c>
      <c r="G3428" s="54">
        <f t="shared" si="59"/>
        <v>9.786900000000001</v>
      </c>
      <c r="H3428" s="73"/>
      <c r="I3428" s="74"/>
      <c r="J3428" s="156">
        <v>0</v>
      </c>
    </row>
    <row r="3429" spans="1:10" ht="15.75" hidden="1" thickBot="1" x14ac:dyDescent="0.3">
      <c r="A3429" s="222"/>
      <c r="B3429" s="225"/>
      <c r="C3429" s="36" t="s">
        <v>3623</v>
      </c>
      <c r="D3429" s="36" t="s">
        <v>42</v>
      </c>
      <c r="E3429" s="37">
        <v>4.5</v>
      </c>
      <c r="F3429" s="54">
        <v>1.3109999999999999</v>
      </c>
      <c r="G3429" s="54">
        <f t="shared" si="59"/>
        <v>5.8994999999999997</v>
      </c>
      <c r="H3429" s="73"/>
      <c r="I3429" s="74"/>
      <c r="J3429" s="156">
        <v>0</v>
      </c>
    </row>
    <row r="3430" spans="1:10" ht="15.75" hidden="1" thickBot="1" x14ac:dyDescent="0.3">
      <c r="A3430" s="222"/>
      <c r="B3430" s="225"/>
      <c r="C3430" s="36" t="s">
        <v>3622</v>
      </c>
      <c r="D3430" s="36" t="s">
        <v>42</v>
      </c>
      <c r="E3430" s="37">
        <v>0.3</v>
      </c>
      <c r="F3430" s="54">
        <v>2.508</v>
      </c>
      <c r="G3430" s="54">
        <f t="shared" si="59"/>
        <v>0.75239999999999996</v>
      </c>
      <c r="H3430" s="73"/>
      <c r="I3430" s="74"/>
      <c r="J3430" s="156">
        <v>0</v>
      </c>
    </row>
    <row r="3431" spans="1:10" ht="15.75" hidden="1" thickBot="1" x14ac:dyDescent="0.3">
      <c r="A3431" s="223"/>
      <c r="B3431" s="226"/>
      <c r="C3431" s="36"/>
      <c r="D3431" s="36"/>
      <c r="E3431" s="37"/>
      <c r="F3431" s="54" t="s">
        <v>572</v>
      </c>
      <c r="G3431" s="54" t="str">
        <f t="shared" si="59"/>
        <v/>
      </c>
      <c r="H3431" s="73"/>
      <c r="I3431" s="74"/>
      <c r="J3431" s="156">
        <v>0</v>
      </c>
    </row>
    <row r="3432" spans="1:10" ht="15.75" hidden="1" thickBot="1" x14ac:dyDescent="0.3">
      <c r="A3432" s="221" t="s">
        <v>1097</v>
      </c>
      <c r="B3432" s="224" t="str">
        <f>INDEX(Orçamentária!A:B,MATCH(Composições!A3432,Orçamentária!A:A,0),2)</f>
        <v>Mármore Branco Especial 20mm com inserts e argamassa (Ed. Principal e Anexo 1)</v>
      </c>
      <c r="C3432" s="41"/>
      <c r="D3432" s="26" t="str">
        <f>TRIM(INDEX(Orçamentária!C:C,MATCH(Composições!A3432,Orçamentária!A:A,0),1))</f>
        <v>m2</v>
      </c>
      <c r="E3432" s="27"/>
      <c r="F3432" s="49" t="s">
        <v>572</v>
      </c>
      <c r="G3432" s="28" t="str">
        <f t="shared" si="59"/>
        <v/>
      </c>
      <c r="H3432" s="29"/>
      <c r="I3432" s="30"/>
      <c r="J3432" s="156">
        <v>0</v>
      </c>
    </row>
    <row r="3433" spans="1:10" ht="15.75" hidden="1" thickBot="1" x14ac:dyDescent="0.3">
      <c r="A3433" s="222"/>
      <c r="B3433" s="225"/>
      <c r="C3433" s="32"/>
      <c r="D3433" s="32"/>
      <c r="E3433" s="33"/>
      <c r="F3433" s="54" t="s">
        <v>572</v>
      </c>
      <c r="G3433" s="54" t="str">
        <f t="shared" si="59"/>
        <v/>
      </c>
      <c r="H3433" s="73"/>
      <c r="I3433" s="74"/>
      <c r="J3433" s="156">
        <v>0</v>
      </c>
    </row>
    <row r="3434" spans="1:10" ht="15.75" hidden="1" thickBot="1" x14ac:dyDescent="0.3">
      <c r="A3434" s="222"/>
      <c r="B3434" s="225"/>
      <c r="C3434" s="36" t="s">
        <v>1096</v>
      </c>
      <c r="D3434" s="36" t="s">
        <v>96</v>
      </c>
      <c r="E3434" s="37">
        <v>1.05</v>
      </c>
      <c r="F3434" s="54" t="s">
        <v>572</v>
      </c>
      <c r="G3434" s="54" t="str">
        <f t="shared" si="59"/>
        <v/>
      </c>
      <c r="H3434" s="39">
        <f>SUM(G3434:G3444)</f>
        <v>54.065510206373503</v>
      </c>
      <c r="I3434" s="40"/>
      <c r="J3434" s="156">
        <v>0</v>
      </c>
    </row>
    <row r="3435" spans="1:10" ht="15.75" hidden="1" thickBot="1" x14ac:dyDescent="0.3">
      <c r="A3435" s="222"/>
      <c r="B3435" s="225"/>
      <c r="C3435" s="36" t="s">
        <v>54</v>
      </c>
      <c r="D3435" s="36" t="s">
        <v>12</v>
      </c>
      <c r="E3435" s="37">
        <f>1.35</f>
        <v>1.35</v>
      </c>
      <c r="F3435" s="54">
        <v>18.420500000000001</v>
      </c>
      <c r="G3435" s="54">
        <f t="shared" si="59"/>
        <v>24.867675000000002</v>
      </c>
      <c r="H3435" s="73"/>
      <c r="I3435" s="74"/>
      <c r="J3435" s="156">
        <v>0</v>
      </c>
    </row>
    <row r="3436" spans="1:10" ht="15.75" hidden="1" thickBot="1" x14ac:dyDescent="0.3">
      <c r="A3436" s="222"/>
      <c r="B3436" s="225"/>
      <c r="C3436" s="36" t="s">
        <v>22</v>
      </c>
      <c r="D3436" s="36" t="s">
        <v>12</v>
      </c>
      <c r="E3436" s="37">
        <v>0.1</v>
      </c>
      <c r="F3436" s="54">
        <v>22.087499999999999</v>
      </c>
      <c r="G3436" s="54">
        <f t="shared" si="59"/>
        <v>2.2087499999999998</v>
      </c>
      <c r="H3436" s="73"/>
      <c r="I3436" s="74"/>
      <c r="J3436" s="156">
        <v>0</v>
      </c>
    </row>
    <row r="3437" spans="1:10" ht="15.75" hidden="1" thickBot="1" x14ac:dyDescent="0.3">
      <c r="A3437" s="222"/>
      <c r="B3437" s="225"/>
      <c r="C3437" s="36" t="s">
        <v>23</v>
      </c>
      <c r="D3437" s="36" t="s">
        <v>12</v>
      </c>
      <c r="E3437" s="37">
        <f>0.6+0.1+0.1</f>
        <v>0.79999999999999993</v>
      </c>
      <c r="F3437" s="54">
        <v>16.311500000000002</v>
      </c>
      <c r="G3437" s="54">
        <f t="shared" si="59"/>
        <v>13.049200000000001</v>
      </c>
      <c r="H3437" s="73"/>
      <c r="I3437" s="74"/>
      <c r="J3437" s="156">
        <v>0</v>
      </c>
    </row>
    <row r="3438" spans="1:10" ht="15.75" hidden="1" thickBot="1" x14ac:dyDescent="0.3">
      <c r="A3438" s="222"/>
      <c r="B3438" s="225"/>
      <c r="C3438" s="36" t="s">
        <v>3623</v>
      </c>
      <c r="D3438" s="36" t="s">
        <v>42</v>
      </c>
      <c r="E3438" s="37">
        <v>4.5</v>
      </c>
      <c r="F3438" s="54">
        <v>1.3109999999999999</v>
      </c>
      <c r="G3438" s="54">
        <f t="shared" si="59"/>
        <v>5.8994999999999997</v>
      </c>
      <c r="H3438" s="73"/>
      <c r="I3438" s="74"/>
      <c r="J3438" s="156">
        <v>0</v>
      </c>
    </row>
    <row r="3439" spans="1:10" ht="15.75" hidden="1" thickBot="1" x14ac:dyDescent="0.3">
      <c r="A3439" s="222"/>
      <c r="B3439" s="225"/>
      <c r="C3439" s="36" t="s">
        <v>3622</v>
      </c>
      <c r="D3439" s="36" t="s">
        <v>42</v>
      </c>
      <c r="E3439" s="37">
        <v>0.3</v>
      </c>
      <c r="F3439" s="54">
        <v>2.508</v>
      </c>
      <c r="G3439" s="54">
        <f t="shared" si="59"/>
        <v>0.75239999999999996</v>
      </c>
      <c r="H3439" s="73"/>
      <c r="I3439" s="74"/>
      <c r="J3439" s="156">
        <v>0</v>
      </c>
    </row>
    <row r="3440" spans="1:10" ht="26.25" hidden="1" thickBot="1" x14ac:dyDescent="0.3">
      <c r="A3440" s="222"/>
      <c r="B3440" s="225"/>
      <c r="C3440" s="36" t="s">
        <v>1098</v>
      </c>
      <c r="D3440" s="36" t="s">
        <v>299</v>
      </c>
      <c r="E3440" s="37">
        <f>2/(0.4*0.8)</f>
        <v>6.2499999999999991</v>
      </c>
      <c r="F3440" s="54">
        <v>1.159</v>
      </c>
      <c r="G3440" s="54">
        <f t="shared" si="59"/>
        <v>7.2437499999999995</v>
      </c>
      <c r="H3440" s="73"/>
      <c r="I3440" s="74"/>
      <c r="J3440" s="156">
        <v>0</v>
      </c>
    </row>
    <row r="3441" spans="1:10" ht="15.75" hidden="1" thickBot="1" x14ac:dyDescent="0.3">
      <c r="A3441" s="222"/>
      <c r="B3441" s="225"/>
      <c r="C3441" s="36" t="s">
        <v>1088</v>
      </c>
      <c r="D3441" s="36" t="s">
        <v>150</v>
      </c>
      <c r="E3441" s="37">
        <f>(2/(0.4*0.8))*(0.016)*1.5</f>
        <v>0.15</v>
      </c>
      <c r="F3441" s="54">
        <v>0</v>
      </c>
      <c r="G3441" s="54">
        <f t="shared" si="59"/>
        <v>0</v>
      </c>
      <c r="H3441" s="73"/>
      <c r="I3441" s="74"/>
      <c r="J3441" s="156">
        <v>0</v>
      </c>
    </row>
    <row r="3442" spans="1:10" ht="15.75" hidden="1" thickBot="1" x14ac:dyDescent="0.3">
      <c r="A3442" s="222"/>
      <c r="B3442" s="225"/>
      <c r="C3442" s="36" t="s">
        <v>1089</v>
      </c>
      <c r="D3442" s="36" t="s">
        <v>1090</v>
      </c>
      <c r="E3442" s="37">
        <f>(2/(0.4*0.8))*0.1*1.5</f>
        <v>0.9375</v>
      </c>
      <c r="F3442" s="54">
        <v>0</v>
      </c>
      <c r="G3442" s="54">
        <f t="shared" si="59"/>
        <v>0</v>
      </c>
      <c r="H3442" s="73"/>
      <c r="I3442" s="74"/>
      <c r="J3442" s="156">
        <v>0</v>
      </c>
    </row>
    <row r="3443" spans="1:10" ht="15.75" hidden="1" thickBot="1" x14ac:dyDescent="0.3">
      <c r="A3443" s="222"/>
      <c r="B3443" s="225"/>
      <c r="C3443" s="36" t="s">
        <v>1099</v>
      </c>
      <c r="D3443" s="36" t="s">
        <v>150</v>
      </c>
      <c r="E3443" s="37">
        <f>2/(0.4*0.8)</f>
        <v>6.2499999999999991</v>
      </c>
      <c r="F3443" s="54" t="s">
        <v>572</v>
      </c>
      <c r="G3443" s="54" t="str">
        <f t="shared" si="59"/>
        <v/>
      </c>
      <c r="H3443" s="73"/>
      <c r="I3443" s="74"/>
      <c r="J3443" s="156">
        <v>0</v>
      </c>
    </row>
    <row r="3444" spans="1:10" ht="39" hidden="1" thickBot="1" x14ac:dyDescent="0.3">
      <c r="A3444" s="222"/>
      <c r="B3444" s="225"/>
      <c r="C3444" s="36" t="s">
        <v>1091</v>
      </c>
      <c r="D3444" s="36" t="s">
        <v>112</v>
      </c>
      <c r="E3444" s="37">
        <v>1E-4</v>
      </c>
      <c r="F3444" s="54">
        <v>442.352063735</v>
      </c>
      <c r="G3444" s="54">
        <f t="shared" si="59"/>
        <v>4.4235206373500001E-2</v>
      </c>
      <c r="H3444" s="73"/>
      <c r="I3444" s="74"/>
      <c r="J3444" s="156">
        <v>0</v>
      </c>
    </row>
    <row r="3445" spans="1:10" ht="15.75" hidden="1" thickBot="1" x14ac:dyDescent="0.3">
      <c r="A3445" s="222"/>
      <c r="B3445" s="225"/>
      <c r="C3445" s="36"/>
      <c r="D3445" s="36"/>
      <c r="E3445" s="37"/>
      <c r="F3445" s="54" t="s">
        <v>572</v>
      </c>
      <c r="G3445" s="54" t="str">
        <f t="shared" si="59"/>
        <v/>
      </c>
      <c r="H3445" s="73"/>
      <c r="I3445" s="74"/>
      <c r="J3445" s="156">
        <v>0</v>
      </c>
    </row>
    <row r="3446" spans="1:10" ht="15.75" hidden="1" thickBot="1" x14ac:dyDescent="0.3">
      <c r="A3446" s="222"/>
      <c r="B3446" s="225"/>
      <c r="C3446" s="153" t="s">
        <v>1100</v>
      </c>
      <c r="D3446" s="36"/>
      <c r="E3446" s="37"/>
      <c r="F3446" s="54" t="s">
        <v>572</v>
      </c>
      <c r="G3446" s="54" t="str">
        <f t="shared" si="59"/>
        <v/>
      </c>
      <c r="H3446" s="73"/>
      <c r="I3446" s="74"/>
      <c r="J3446" s="156">
        <v>0</v>
      </c>
    </row>
    <row r="3447" spans="1:10" ht="26.25" hidden="1" thickBot="1" x14ac:dyDescent="0.3">
      <c r="A3447" s="222"/>
      <c r="B3447" s="225"/>
      <c r="C3447" s="153" t="s">
        <v>1101</v>
      </c>
      <c r="D3447" s="36"/>
      <c r="E3447" s="37"/>
      <c r="F3447" s="54" t="s">
        <v>572</v>
      </c>
      <c r="G3447" s="54" t="str">
        <f t="shared" si="59"/>
        <v/>
      </c>
      <c r="H3447" s="73"/>
      <c r="I3447" s="74"/>
      <c r="J3447" s="156">
        <v>0</v>
      </c>
    </row>
    <row r="3448" spans="1:10" ht="15.75" hidden="1" thickBot="1" x14ac:dyDescent="0.3">
      <c r="A3448" s="223"/>
      <c r="B3448" s="226"/>
      <c r="C3448" s="36"/>
      <c r="D3448" s="36"/>
      <c r="E3448" s="37"/>
      <c r="F3448" s="54" t="s">
        <v>572</v>
      </c>
      <c r="G3448" s="54" t="str">
        <f t="shared" si="59"/>
        <v/>
      </c>
      <c r="H3448" s="73"/>
      <c r="I3448" s="74"/>
      <c r="J3448" s="156">
        <v>0</v>
      </c>
    </row>
    <row r="3449" spans="1:10" ht="15.75" hidden="1" thickBot="1" x14ac:dyDescent="0.3">
      <c r="A3449" s="221" t="s">
        <v>1102</v>
      </c>
      <c r="B3449" s="224" t="str">
        <f>INDEX(Orçamentária!A:B,MATCH(Composições!A3449,Orçamentária!A:A,0),2)</f>
        <v>Mármore Branco Especial 30mm argamassado (Ed. Principal e Anexo 1)</v>
      </c>
      <c r="C3449" s="41"/>
      <c r="D3449" s="26" t="str">
        <f>TRIM(INDEX(Orçamentária!C:C,MATCH(Composições!A3449,Orçamentária!A:A,0),1))</f>
        <v>m2</v>
      </c>
      <c r="E3449" s="27"/>
      <c r="F3449" s="49" t="s">
        <v>572</v>
      </c>
      <c r="G3449" s="28" t="str">
        <f t="shared" si="59"/>
        <v/>
      </c>
      <c r="H3449" s="29"/>
      <c r="I3449" s="30"/>
      <c r="J3449" s="156">
        <v>0</v>
      </c>
    </row>
    <row r="3450" spans="1:10" ht="15.75" hidden="1" thickBot="1" x14ac:dyDescent="0.3">
      <c r="A3450" s="222"/>
      <c r="B3450" s="225"/>
      <c r="C3450" s="32"/>
      <c r="D3450" s="32"/>
      <c r="E3450" s="33"/>
      <c r="F3450" s="54" t="s">
        <v>572</v>
      </c>
      <c r="G3450" s="54" t="str">
        <f t="shared" si="59"/>
        <v/>
      </c>
      <c r="H3450" s="73"/>
      <c r="I3450" s="74"/>
      <c r="J3450" s="156">
        <v>0</v>
      </c>
    </row>
    <row r="3451" spans="1:10" ht="15.75" hidden="1" thickBot="1" x14ac:dyDescent="0.3">
      <c r="A3451" s="222"/>
      <c r="B3451" s="225"/>
      <c r="C3451" s="36" t="s">
        <v>1103</v>
      </c>
      <c r="D3451" s="36" t="s">
        <v>96</v>
      </c>
      <c r="E3451" s="37">
        <v>1.05</v>
      </c>
      <c r="F3451" s="54" t="s">
        <v>572</v>
      </c>
      <c r="G3451" s="54" t="str">
        <f t="shared" si="59"/>
        <v/>
      </c>
      <c r="H3451" s="39">
        <f>SUM(G3451:G3455)</f>
        <v>41.306474999999999</v>
      </c>
      <c r="I3451" s="40"/>
      <c r="J3451" s="156">
        <v>0</v>
      </c>
    </row>
    <row r="3452" spans="1:10" ht="15.75" hidden="1" thickBot="1" x14ac:dyDescent="0.3">
      <c r="A3452" s="222"/>
      <c r="B3452" s="225"/>
      <c r="C3452" s="36" t="s">
        <v>54</v>
      </c>
      <c r="D3452" s="36" t="s">
        <v>12</v>
      </c>
      <c r="E3452" s="37">
        <v>1.35</v>
      </c>
      <c r="F3452" s="54">
        <v>18.420500000000001</v>
      </c>
      <c r="G3452" s="54">
        <f t="shared" si="59"/>
        <v>24.867675000000002</v>
      </c>
      <c r="H3452" s="73"/>
      <c r="I3452" s="74"/>
      <c r="J3452" s="156">
        <v>0</v>
      </c>
    </row>
    <row r="3453" spans="1:10" ht="15.75" hidden="1" thickBot="1" x14ac:dyDescent="0.3">
      <c r="A3453" s="222"/>
      <c r="B3453" s="225"/>
      <c r="C3453" s="36" t="s">
        <v>23</v>
      </c>
      <c r="D3453" s="36" t="s">
        <v>12</v>
      </c>
      <c r="E3453" s="37">
        <v>0.6</v>
      </c>
      <c r="F3453" s="54">
        <v>16.311500000000002</v>
      </c>
      <c r="G3453" s="54">
        <f t="shared" si="59"/>
        <v>9.786900000000001</v>
      </c>
      <c r="H3453" s="73"/>
      <c r="I3453" s="74"/>
      <c r="J3453" s="156">
        <v>0</v>
      </c>
    </row>
    <row r="3454" spans="1:10" ht="15.75" hidden="1" thickBot="1" x14ac:dyDescent="0.3">
      <c r="A3454" s="222"/>
      <c r="B3454" s="225"/>
      <c r="C3454" s="36" t="s">
        <v>3623</v>
      </c>
      <c r="D3454" s="36" t="s">
        <v>42</v>
      </c>
      <c r="E3454" s="37">
        <v>4.5</v>
      </c>
      <c r="F3454" s="54">
        <v>1.3109999999999999</v>
      </c>
      <c r="G3454" s="54">
        <f t="shared" si="59"/>
        <v>5.8994999999999997</v>
      </c>
      <c r="H3454" s="73"/>
      <c r="I3454" s="74"/>
      <c r="J3454" s="156">
        <v>0</v>
      </c>
    </row>
    <row r="3455" spans="1:10" ht="15.75" hidden="1" thickBot="1" x14ac:dyDescent="0.3">
      <c r="A3455" s="222"/>
      <c r="B3455" s="225"/>
      <c r="C3455" s="36" t="s">
        <v>3622</v>
      </c>
      <c r="D3455" s="36" t="s">
        <v>42</v>
      </c>
      <c r="E3455" s="37">
        <v>0.3</v>
      </c>
      <c r="F3455" s="54">
        <v>2.508</v>
      </c>
      <c r="G3455" s="54">
        <f t="shared" si="59"/>
        <v>0.75239999999999996</v>
      </c>
      <c r="H3455" s="73"/>
      <c r="I3455" s="74"/>
      <c r="J3455" s="156">
        <v>0</v>
      </c>
    </row>
    <row r="3456" spans="1:10" ht="15.75" hidden="1" thickBot="1" x14ac:dyDescent="0.3">
      <c r="A3456" s="223"/>
      <c r="B3456" s="226"/>
      <c r="C3456" s="36"/>
      <c r="D3456" s="36"/>
      <c r="E3456" s="37"/>
      <c r="F3456" s="54" t="s">
        <v>572</v>
      </c>
      <c r="G3456" s="54" t="str">
        <f t="shared" si="59"/>
        <v/>
      </c>
      <c r="H3456" s="73"/>
      <c r="I3456" s="74"/>
      <c r="J3456" s="156">
        <v>0</v>
      </c>
    </row>
    <row r="3457" spans="1:10" ht="15.75" hidden="1" thickBot="1" x14ac:dyDescent="0.3">
      <c r="A3457" s="221" t="s">
        <v>1104</v>
      </c>
      <c r="B3457" s="224" t="str">
        <f>INDEX(Orçamentária!A:B,MATCH(Composições!A3457,Orçamentária!A:A,0),2)</f>
        <v>Mármore Branco Especial 30mm com inserts e argamassa (Ed. Principal e Anexo 1)</v>
      </c>
      <c r="C3457" s="41"/>
      <c r="D3457" s="26" t="str">
        <f>TRIM(INDEX(Orçamentária!C:C,MATCH(Composições!A3457,Orçamentária!A:A,0),1))</f>
        <v>m2</v>
      </c>
      <c r="E3457" s="27"/>
      <c r="F3457" s="49" t="s">
        <v>572</v>
      </c>
      <c r="G3457" s="28" t="str">
        <f t="shared" si="59"/>
        <v/>
      </c>
      <c r="H3457" s="29"/>
      <c r="I3457" s="30"/>
      <c r="J3457" s="156">
        <v>0</v>
      </c>
    </row>
    <row r="3458" spans="1:10" ht="15.75" hidden="1" thickBot="1" x14ac:dyDescent="0.3">
      <c r="A3458" s="222"/>
      <c r="B3458" s="225"/>
      <c r="C3458" s="32"/>
      <c r="D3458" s="32"/>
      <c r="E3458" s="33"/>
      <c r="F3458" s="54" t="s">
        <v>572</v>
      </c>
      <c r="G3458" s="54" t="str">
        <f t="shared" si="59"/>
        <v/>
      </c>
      <c r="H3458" s="73"/>
      <c r="I3458" s="74"/>
      <c r="J3458" s="156">
        <v>0</v>
      </c>
    </row>
    <row r="3459" spans="1:10" ht="15.75" hidden="1" thickBot="1" x14ac:dyDescent="0.3">
      <c r="A3459" s="222"/>
      <c r="B3459" s="225"/>
      <c r="C3459" s="36" t="s">
        <v>1103</v>
      </c>
      <c r="D3459" s="36" t="s">
        <v>96</v>
      </c>
      <c r="E3459" s="37">
        <v>1.05</v>
      </c>
      <c r="F3459" s="54" t="s">
        <v>572</v>
      </c>
      <c r="G3459" s="54" t="str">
        <f t="shared" si="59"/>
        <v/>
      </c>
      <c r="H3459" s="39">
        <f>SUM(G3459:G3469)</f>
        <v>54.065510206373503</v>
      </c>
      <c r="I3459" s="40"/>
      <c r="J3459" s="156">
        <v>0</v>
      </c>
    </row>
    <row r="3460" spans="1:10" ht="15.75" hidden="1" thickBot="1" x14ac:dyDescent="0.3">
      <c r="A3460" s="222"/>
      <c r="B3460" s="225"/>
      <c r="C3460" s="36" t="s">
        <v>54</v>
      </c>
      <c r="D3460" s="36" t="s">
        <v>12</v>
      </c>
      <c r="E3460" s="37">
        <f>1.35</f>
        <v>1.35</v>
      </c>
      <c r="F3460" s="54">
        <v>18.420500000000001</v>
      </c>
      <c r="G3460" s="54">
        <f t="shared" si="59"/>
        <v>24.867675000000002</v>
      </c>
      <c r="H3460" s="73"/>
      <c r="I3460" s="74"/>
      <c r="J3460" s="156">
        <v>0</v>
      </c>
    </row>
    <row r="3461" spans="1:10" ht="15.75" hidden="1" thickBot="1" x14ac:dyDescent="0.3">
      <c r="A3461" s="222"/>
      <c r="B3461" s="225"/>
      <c r="C3461" s="36" t="s">
        <v>22</v>
      </c>
      <c r="D3461" s="36" t="s">
        <v>12</v>
      </c>
      <c r="E3461" s="37">
        <v>0.1</v>
      </c>
      <c r="F3461" s="54">
        <v>22.087499999999999</v>
      </c>
      <c r="G3461" s="54">
        <f t="shared" si="59"/>
        <v>2.2087499999999998</v>
      </c>
      <c r="H3461" s="73"/>
      <c r="I3461" s="74"/>
      <c r="J3461" s="156">
        <v>0</v>
      </c>
    </row>
    <row r="3462" spans="1:10" ht="15.75" hidden="1" thickBot="1" x14ac:dyDescent="0.3">
      <c r="A3462" s="222"/>
      <c r="B3462" s="225"/>
      <c r="C3462" s="36" t="s">
        <v>23</v>
      </c>
      <c r="D3462" s="36" t="s">
        <v>12</v>
      </c>
      <c r="E3462" s="37">
        <f>0.6+0.1+0.1</f>
        <v>0.79999999999999993</v>
      </c>
      <c r="F3462" s="54">
        <v>16.311500000000002</v>
      </c>
      <c r="G3462" s="54">
        <f t="shared" si="59"/>
        <v>13.049200000000001</v>
      </c>
      <c r="H3462" s="73"/>
      <c r="I3462" s="74"/>
      <c r="J3462" s="156">
        <v>0</v>
      </c>
    </row>
    <row r="3463" spans="1:10" ht="15.75" hidden="1" thickBot="1" x14ac:dyDescent="0.3">
      <c r="A3463" s="222"/>
      <c r="B3463" s="225"/>
      <c r="C3463" s="36" t="s">
        <v>3623</v>
      </c>
      <c r="D3463" s="36" t="s">
        <v>42</v>
      </c>
      <c r="E3463" s="37">
        <v>4.5</v>
      </c>
      <c r="F3463" s="54">
        <v>1.3109999999999999</v>
      </c>
      <c r="G3463" s="54">
        <f t="shared" si="59"/>
        <v>5.8994999999999997</v>
      </c>
      <c r="H3463" s="73"/>
      <c r="I3463" s="74"/>
      <c r="J3463" s="156">
        <v>0</v>
      </c>
    </row>
    <row r="3464" spans="1:10" ht="15.75" hidden="1" thickBot="1" x14ac:dyDescent="0.3">
      <c r="A3464" s="222"/>
      <c r="B3464" s="225"/>
      <c r="C3464" s="36" t="s">
        <v>3622</v>
      </c>
      <c r="D3464" s="36" t="s">
        <v>42</v>
      </c>
      <c r="E3464" s="37">
        <v>0.3</v>
      </c>
      <c r="F3464" s="54">
        <v>2.508</v>
      </c>
      <c r="G3464" s="54">
        <f t="shared" si="59"/>
        <v>0.75239999999999996</v>
      </c>
      <c r="H3464" s="73"/>
      <c r="I3464" s="74"/>
      <c r="J3464" s="156">
        <v>0</v>
      </c>
    </row>
    <row r="3465" spans="1:10" ht="26.25" hidden="1" thickBot="1" x14ac:dyDescent="0.3">
      <c r="A3465" s="222"/>
      <c r="B3465" s="225"/>
      <c r="C3465" s="36" t="s">
        <v>1098</v>
      </c>
      <c r="D3465" s="36" t="s">
        <v>299</v>
      </c>
      <c r="E3465" s="37">
        <f>2/(0.4*0.8)</f>
        <v>6.2499999999999991</v>
      </c>
      <c r="F3465" s="54">
        <v>1.159</v>
      </c>
      <c r="G3465" s="54">
        <f t="shared" si="59"/>
        <v>7.2437499999999995</v>
      </c>
      <c r="H3465" s="73"/>
      <c r="I3465" s="74"/>
      <c r="J3465" s="156">
        <v>0</v>
      </c>
    </row>
    <row r="3466" spans="1:10" ht="15.75" hidden="1" thickBot="1" x14ac:dyDescent="0.3">
      <c r="A3466" s="222"/>
      <c r="B3466" s="225"/>
      <c r="C3466" s="36" t="s">
        <v>1088</v>
      </c>
      <c r="D3466" s="36" t="s">
        <v>150</v>
      </c>
      <c r="E3466" s="37">
        <f>(2/(0.4*0.8))*(0.016)*1.5</f>
        <v>0.15</v>
      </c>
      <c r="F3466" s="54">
        <v>0</v>
      </c>
      <c r="G3466" s="54">
        <f t="shared" si="59"/>
        <v>0</v>
      </c>
      <c r="H3466" s="73"/>
      <c r="I3466" s="74"/>
      <c r="J3466" s="156">
        <v>0</v>
      </c>
    </row>
    <row r="3467" spans="1:10" ht="15.75" hidden="1" thickBot="1" x14ac:dyDescent="0.3">
      <c r="A3467" s="222"/>
      <c r="B3467" s="225"/>
      <c r="C3467" s="36" t="s">
        <v>1089</v>
      </c>
      <c r="D3467" s="36" t="s">
        <v>1090</v>
      </c>
      <c r="E3467" s="37">
        <f>(2/(0.4*0.8))*0.1*1.5</f>
        <v>0.9375</v>
      </c>
      <c r="F3467" s="54">
        <v>0</v>
      </c>
      <c r="G3467" s="54">
        <f t="shared" si="59"/>
        <v>0</v>
      </c>
      <c r="H3467" s="73"/>
      <c r="I3467" s="74"/>
      <c r="J3467" s="156">
        <v>0</v>
      </c>
    </row>
    <row r="3468" spans="1:10" ht="15.75" hidden="1" thickBot="1" x14ac:dyDescent="0.3">
      <c r="A3468" s="222"/>
      <c r="B3468" s="225"/>
      <c r="C3468" s="36" t="s">
        <v>1099</v>
      </c>
      <c r="D3468" s="36" t="s">
        <v>150</v>
      </c>
      <c r="E3468" s="37">
        <f>2/(0.4*0.8)</f>
        <v>6.2499999999999991</v>
      </c>
      <c r="F3468" s="54" t="s">
        <v>572</v>
      </c>
      <c r="G3468" s="54" t="str">
        <f t="shared" si="59"/>
        <v/>
      </c>
      <c r="H3468" s="73"/>
      <c r="I3468" s="74"/>
      <c r="J3468" s="156">
        <v>0</v>
      </c>
    </row>
    <row r="3469" spans="1:10" ht="39" hidden="1" thickBot="1" x14ac:dyDescent="0.3">
      <c r="A3469" s="222"/>
      <c r="B3469" s="225"/>
      <c r="C3469" s="36" t="s">
        <v>1091</v>
      </c>
      <c r="D3469" s="36" t="s">
        <v>112</v>
      </c>
      <c r="E3469" s="37">
        <v>1E-4</v>
      </c>
      <c r="F3469" s="54">
        <v>442.352063735</v>
      </c>
      <c r="G3469" s="54">
        <f t="shared" si="59"/>
        <v>4.4235206373500001E-2</v>
      </c>
      <c r="H3469" s="73"/>
      <c r="I3469" s="74"/>
      <c r="J3469" s="156">
        <v>0</v>
      </c>
    </row>
    <row r="3470" spans="1:10" ht="15.75" hidden="1" thickBot="1" x14ac:dyDescent="0.3">
      <c r="A3470" s="222"/>
      <c r="B3470" s="225"/>
      <c r="C3470" s="36"/>
      <c r="D3470" s="36"/>
      <c r="E3470" s="37"/>
      <c r="F3470" s="54" t="s">
        <v>572</v>
      </c>
      <c r="G3470" s="54" t="str">
        <f t="shared" si="59"/>
        <v/>
      </c>
      <c r="H3470" s="73"/>
      <c r="I3470" s="74"/>
      <c r="J3470" s="156">
        <v>0</v>
      </c>
    </row>
    <row r="3471" spans="1:10" ht="15.75" hidden="1" thickBot="1" x14ac:dyDescent="0.3">
      <c r="A3471" s="222"/>
      <c r="B3471" s="225"/>
      <c r="C3471" s="153" t="s">
        <v>1100</v>
      </c>
      <c r="D3471" s="36"/>
      <c r="E3471" s="37"/>
      <c r="F3471" s="54" t="s">
        <v>572</v>
      </c>
      <c r="G3471" s="54" t="str">
        <f t="shared" si="59"/>
        <v/>
      </c>
      <c r="H3471" s="73"/>
      <c r="I3471" s="74"/>
      <c r="J3471" s="156">
        <v>0</v>
      </c>
    </row>
    <row r="3472" spans="1:10" ht="26.25" hidden="1" thickBot="1" x14ac:dyDescent="0.3">
      <c r="A3472" s="222"/>
      <c r="B3472" s="225"/>
      <c r="C3472" s="153" t="s">
        <v>1101</v>
      </c>
      <c r="D3472" s="36"/>
      <c r="E3472" s="37"/>
      <c r="F3472" s="54" t="s">
        <v>572</v>
      </c>
      <c r="G3472" s="54" t="str">
        <f t="shared" si="59"/>
        <v/>
      </c>
      <c r="H3472" s="73"/>
      <c r="I3472" s="74"/>
      <c r="J3472" s="156">
        <v>0</v>
      </c>
    </row>
    <row r="3473" spans="1:10" ht="15.75" hidden="1" thickBot="1" x14ac:dyDescent="0.3">
      <c r="A3473" s="223"/>
      <c r="B3473" s="226"/>
      <c r="C3473" s="36"/>
      <c r="D3473" s="36"/>
      <c r="E3473" s="37"/>
      <c r="F3473" s="54" t="s">
        <v>572</v>
      </c>
      <c r="G3473" s="54" t="str">
        <f t="shared" si="59"/>
        <v/>
      </c>
      <c r="H3473" s="73"/>
      <c r="I3473" s="74"/>
      <c r="J3473" s="156">
        <v>0</v>
      </c>
    </row>
    <row r="3474" spans="1:10" ht="15.75" hidden="1" thickBot="1" x14ac:dyDescent="0.3">
      <c r="A3474" s="221" t="s">
        <v>1105</v>
      </c>
      <c r="B3474" s="224" t="str">
        <f>INDEX(Orçamentária!A:B,MATCH(Composições!A3474,Orçamentária!A:A,0),2)</f>
        <v>Mármore branco especial, e=30mm, instalação em fixadores metálicos existentes (modelo Edifício Principal)</v>
      </c>
      <c r="C3474" s="41"/>
      <c r="D3474" s="26" t="str">
        <f>TRIM(INDEX(Orçamentária!C:C,MATCH(Composições!A3474,Orçamentária!A:A,0),1))</f>
        <v>m2</v>
      </c>
      <c r="E3474" s="27"/>
      <c r="F3474" s="49" t="s">
        <v>572</v>
      </c>
      <c r="G3474" s="28" t="str">
        <f t="shared" ref="G3474:G3537" si="60">IF(ISNUMBER(F3474),E3474*F3474,"")</f>
        <v/>
      </c>
      <c r="H3474" s="29"/>
      <c r="I3474" s="30"/>
      <c r="J3474" s="156">
        <v>0</v>
      </c>
    </row>
    <row r="3475" spans="1:10" ht="15.75" hidden="1" thickBot="1" x14ac:dyDescent="0.3">
      <c r="A3475" s="222"/>
      <c r="B3475" s="225"/>
      <c r="C3475" s="32"/>
      <c r="D3475" s="32"/>
      <c r="E3475" s="33"/>
      <c r="F3475" s="54" t="s">
        <v>572</v>
      </c>
      <c r="G3475" s="54" t="str">
        <f t="shared" si="60"/>
        <v/>
      </c>
      <c r="H3475" s="73"/>
      <c r="I3475" s="74"/>
      <c r="J3475" s="156">
        <v>0</v>
      </c>
    </row>
    <row r="3476" spans="1:10" ht="15.75" hidden="1" thickBot="1" x14ac:dyDescent="0.3">
      <c r="A3476" s="222"/>
      <c r="B3476" s="225"/>
      <c r="C3476" s="36" t="s">
        <v>1103</v>
      </c>
      <c r="D3476" s="36" t="s">
        <v>96</v>
      </c>
      <c r="E3476" s="37">
        <v>1.05</v>
      </c>
      <c r="F3476" s="54" t="s">
        <v>572</v>
      </c>
      <c r="G3476" s="54" t="str">
        <f t="shared" si="60"/>
        <v/>
      </c>
      <c r="H3476" s="39">
        <f>SUM(G3476:G3481)</f>
        <v>6.280510206373501</v>
      </c>
      <c r="I3476" s="40"/>
      <c r="J3476" s="156">
        <v>0</v>
      </c>
    </row>
    <row r="3477" spans="1:10" ht="15.75" hidden="1" thickBot="1" x14ac:dyDescent="0.3">
      <c r="A3477" s="222"/>
      <c r="B3477" s="225"/>
      <c r="C3477" s="36" t="s">
        <v>54</v>
      </c>
      <c r="D3477" s="36" t="s">
        <v>12</v>
      </c>
      <c r="E3477" s="37">
        <v>0.25</v>
      </c>
      <c r="F3477" s="54">
        <v>18.420500000000001</v>
      </c>
      <c r="G3477" s="54">
        <f t="shared" si="60"/>
        <v>4.6051250000000001</v>
      </c>
      <c r="H3477" s="73"/>
      <c r="I3477" s="74"/>
      <c r="J3477" s="156">
        <v>0</v>
      </c>
    </row>
    <row r="3478" spans="1:10" ht="15.75" hidden="1" thickBot="1" x14ac:dyDescent="0.3">
      <c r="A3478" s="222"/>
      <c r="B3478" s="225"/>
      <c r="C3478" s="36" t="s">
        <v>23</v>
      </c>
      <c r="D3478" s="36" t="s">
        <v>12</v>
      </c>
      <c r="E3478" s="37">
        <v>0.1</v>
      </c>
      <c r="F3478" s="54">
        <v>16.311500000000002</v>
      </c>
      <c r="G3478" s="54">
        <f t="shared" si="60"/>
        <v>1.6311500000000003</v>
      </c>
      <c r="H3478" s="73"/>
      <c r="I3478" s="74"/>
      <c r="J3478" s="156">
        <v>0</v>
      </c>
    </row>
    <row r="3479" spans="1:10" ht="15.75" hidden="1" thickBot="1" x14ac:dyDescent="0.3">
      <c r="A3479" s="222"/>
      <c r="B3479" s="225"/>
      <c r="C3479" s="36" t="s">
        <v>1088</v>
      </c>
      <c r="D3479" s="36" t="s">
        <v>150</v>
      </c>
      <c r="E3479" s="37">
        <f>(2/(0.4*0.8))*0.016/2</f>
        <v>4.9999999999999996E-2</v>
      </c>
      <c r="F3479" s="54">
        <v>0</v>
      </c>
      <c r="G3479" s="54">
        <f t="shared" si="60"/>
        <v>0</v>
      </c>
      <c r="H3479" s="73"/>
      <c r="I3479" s="74"/>
      <c r="J3479" s="156">
        <v>0</v>
      </c>
    </row>
    <row r="3480" spans="1:10" ht="15.75" hidden="1" thickBot="1" x14ac:dyDescent="0.3">
      <c r="A3480" s="222"/>
      <c r="B3480" s="225"/>
      <c r="C3480" s="36" t="s">
        <v>1089</v>
      </c>
      <c r="D3480" s="36" t="s">
        <v>1090</v>
      </c>
      <c r="E3480" s="37">
        <f>(2/(0.4*0.8))*0.1/2</f>
        <v>0.3125</v>
      </c>
      <c r="F3480" s="54">
        <v>0</v>
      </c>
      <c r="G3480" s="54">
        <f t="shared" si="60"/>
        <v>0</v>
      </c>
      <c r="H3480" s="73"/>
      <c r="I3480" s="74"/>
      <c r="J3480" s="156">
        <v>0</v>
      </c>
    </row>
    <row r="3481" spans="1:10" ht="39" hidden="1" thickBot="1" x14ac:dyDescent="0.3">
      <c r="A3481" s="222"/>
      <c r="B3481" s="225"/>
      <c r="C3481" s="36" t="s">
        <v>1091</v>
      </c>
      <c r="D3481" s="36" t="s">
        <v>112</v>
      </c>
      <c r="E3481" s="37">
        <v>1E-4</v>
      </c>
      <c r="F3481" s="54">
        <v>442.352063735</v>
      </c>
      <c r="G3481" s="54">
        <f t="shared" si="60"/>
        <v>4.4235206373500001E-2</v>
      </c>
      <c r="H3481" s="73"/>
      <c r="I3481" s="74"/>
      <c r="J3481" s="156">
        <v>0</v>
      </c>
    </row>
    <row r="3482" spans="1:10" ht="15.75" hidden="1" thickBot="1" x14ac:dyDescent="0.3">
      <c r="A3482" s="222"/>
      <c r="B3482" s="225"/>
      <c r="C3482" s="36"/>
      <c r="D3482" s="36"/>
      <c r="E3482" s="37"/>
      <c r="F3482" s="54" t="s">
        <v>572</v>
      </c>
      <c r="G3482" s="54" t="str">
        <f t="shared" si="60"/>
        <v/>
      </c>
      <c r="H3482" s="73"/>
      <c r="I3482" s="74"/>
      <c r="J3482" s="156">
        <v>0</v>
      </c>
    </row>
    <row r="3483" spans="1:10" ht="15.75" hidden="1" thickBot="1" x14ac:dyDescent="0.3">
      <c r="A3483" s="222"/>
      <c r="B3483" s="225"/>
      <c r="C3483" s="153" t="s">
        <v>1106</v>
      </c>
      <c r="D3483" s="36"/>
      <c r="E3483" s="37"/>
      <c r="F3483" s="54" t="s">
        <v>572</v>
      </c>
      <c r="G3483" s="54" t="str">
        <f t="shared" si="60"/>
        <v/>
      </c>
      <c r="H3483" s="73"/>
      <c r="I3483" s="74"/>
      <c r="J3483" s="156">
        <v>0</v>
      </c>
    </row>
    <row r="3484" spans="1:10" ht="26.25" hidden="1" thickBot="1" x14ac:dyDescent="0.3">
      <c r="A3484" s="222"/>
      <c r="B3484" s="225"/>
      <c r="C3484" s="153" t="s">
        <v>1101</v>
      </c>
      <c r="D3484" s="36"/>
      <c r="E3484" s="37"/>
      <c r="F3484" s="54" t="s">
        <v>572</v>
      </c>
      <c r="G3484" s="54" t="str">
        <f t="shared" si="60"/>
        <v/>
      </c>
      <c r="H3484" s="73"/>
      <c r="I3484" s="74"/>
      <c r="J3484" s="156">
        <v>0</v>
      </c>
    </row>
    <row r="3485" spans="1:10" ht="15.75" hidden="1" thickBot="1" x14ac:dyDescent="0.3">
      <c r="A3485" s="223"/>
      <c r="B3485" s="226"/>
      <c r="C3485" s="36"/>
      <c r="D3485" s="36"/>
      <c r="E3485" s="37"/>
      <c r="F3485" s="54" t="s">
        <v>572</v>
      </c>
      <c r="G3485" s="54" t="str">
        <f t="shared" si="60"/>
        <v/>
      </c>
      <c r="H3485" s="73"/>
      <c r="I3485" s="74"/>
      <c r="J3485" s="156">
        <v>0</v>
      </c>
    </row>
    <row r="3486" spans="1:10" ht="15.75" hidden="1" thickBot="1" x14ac:dyDescent="0.3">
      <c r="A3486" s="221" t="s">
        <v>1107</v>
      </c>
      <c r="B3486" s="224" t="str">
        <f>INDEX(Orçamentária!A:B,MATCH(Composições!A3486,Orçamentária!A:A,0),2)</f>
        <v>Instalação de placas de rocha ornamental reaproveitadas, por meio de argamassa</v>
      </c>
      <c r="C3486" s="41"/>
      <c r="D3486" s="26" t="str">
        <f>TRIM(INDEX(Orçamentária!C:C,MATCH(Composições!A3486,Orçamentária!A:A,0),1))</f>
        <v>m2</v>
      </c>
      <c r="E3486" s="27"/>
      <c r="F3486" s="49" t="s">
        <v>572</v>
      </c>
      <c r="G3486" s="28" t="str">
        <f t="shared" si="60"/>
        <v/>
      </c>
      <c r="H3486" s="29"/>
      <c r="I3486" s="30"/>
      <c r="J3486" s="156">
        <v>0</v>
      </c>
    </row>
    <row r="3487" spans="1:10" ht="15.75" hidden="1" thickBot="1" x14ac:dyDescent="0.3">
      <c r="A3487" s="222"/>
      <c r="B3487" s="225"/>
      <c r="C3487" s="32"/>
      <c r="D3487" s="32"/>
      <c r="E3487" s="33"/>
      <c r="F3487" s="54" t="s">
        <v>572</v>
      </c>
      <c r="G3487" s="54" t="str">
        <f t="shared" si="60"/>
        <v/>
      </c>
      <c r="H3487" s="73"/>
      <c r="I3487" s="74"/>
      <c r="J3487" s="156">
        <v>0</v>
      </c>
    </row>
    <row r="3488" spans="1:10" ht="15.75" hidden="1" thickBot="1" x14ac:dyDescent="0.3">
      <c r="A3488" s="222"/>
      <c r="B3488" s="225"/>
      <c r="C3488" s="36" t="s">
        <v>54</v>
      </c>
      <c r="D3488" s="36" t="s">
        <v>12</v>
      </c>
      <c r="E3488" s="37">
        <v>1.35</v>
      </c>
      <c r="F3488" s="54">
        <v>18.420500000000001</v>
      </c>
      <c r="G3488" s="54">
        <f t="shared" si="60"/>
        <v>24.867675000000002</v>
      </c>
      <c r="H3488" s="39">
        <f>SUM(G3488:G3491)</f>
        <v>41.306474999999999</v>
      </c>
      <c r="I3488" s="40"/>
      <c r="J3488" s="156">
        <v>0</v>
      </c>
    </row>
    <row r="3489" spans="1:10" ht="15.75" hidden="1" thickBot="1" x14ac:dyDescent="0.3">
      <c r="A3489" s="222"/>
      <c r="B3489" s="225"/>
      <c r="C3489" s="36" t="s">
        <v>23</v>
      </c>
      <c r="D3489" s="36" t="s">
        <v>12</v>
      </c>
      <c r="E3489" s="37">
        <v>0.6</v>
      </c>
      <c r="F3489" s="54">
        <v>16.311500000000002</v>
      </c>
      <c r="G3489" s="54">
        <f t="shared" si="60"/>
        <v>9.786900000000001</v>
      </c>
      <c r="H3489" s="73"/>
      <c r="I3489" s="74"/>
      <c r="J3489" s="156">
        <v>0</v>
      </c>
    </row>
    <row r="3490" spans="1:10" ht="15.75" hidden="1" thickBot="1" x14ac:dyDescent="0.3">
      <c r="A3490" s="222"/>
      <c r="B3490" s="225"/>
      <c r="C3490" s="36" t="s">
        <v>3623</v>
      </c>
      <c r="D3490" s="36" t="s">
        <v>42</v>
      </c>
      <c r="E3490" s="37">
        <v>4.5</v>
      </c>
      <c r="F3490" s="54">
        <v>1.3109999999999999</v>
      </c>
      <c r="G3490" s="54">
        <f t="shared" si="60"/>
        <v>5.8994999999999997</v>
      </c>
      <c r="H3490" s="73"/>
      <c r="I3490" s="74"/>
      <c r="J3490" s="156">
        <v>0</v>
      </c>
    </row>
    <row r="3491" spans="1:10" ht="15.75" hidden="1" thickBot="1" x14ac:dyDescent="0.3">
      <c r="A3491" s="222"/>
      <c r="B3491" s="225"/>
      <c r="C3491" s="36" t="s">
        <v>3622</v>
      </c>
      <c r="D3491" s="36" t="s">
        <v>42</v>
      </c>
      <c r="E3491" s="37">
        <v>0.3</v>
      </c>
      <c r="F3491" s="54">
        <v>2.508</v>
      </c>
      <c r="G3491" s="54">
        <f t="shared" si="60"/>
        <v>0.75239999999999996</v>
      </c>
      <c r="H3491" s="73"/>
      <c r="I3491" s="74"/>
      <c r="J3491" s="156">
        <v>0</v>
      </c>
    </row>
    <row r="3492" spans="1:10" ht="15.75" hidden="1" thickBot="1" x14ac:dyDescent="0.3">
      <c r="A3492" s="223"/>
      <c r="B3492" s="226"/>
      <c r="C3492" s="36"/>
      <c r="D3492" s="36"/>
      <c r="E3492" s="37"/>
      <c r="F3492" s="54" t="s">
        <v>572</v>
      </c>
      <c r="G3492" s="54" t="str">
        <f t="shared" si="60"/>
        <v/>
      </c>
      <c r="H3492" s="73"/>
      <c r="I3492" s="74"/>
      <c r="J3492" s="156">
        <v>0</v>
      </c>
    </row>
    <row r="3493" spans="1:10" ht="15.75" hidden="1" thickBot="1" x14ac:dyDescent="0.3">
      <c r="A3493" s="221" t="s">
        <v>1108</v>
      </c>
      <c r="B3493" s="224" t="str">
        <f>INDEX(Orçamentária!A:B,MATCH(Composições!A3493,Orçamentária!A:A,0),2)</f>
        <v>Instalação de placas de rocha ornamental reaproveitadas, por meio de argamassa e fixadores metálicos</v>
      </c>
      <c r="C3493" s="41"/>
      <c r="D3493" s="26" t="str">
        <f>TRIM(INDEX(Orçamentária!C:C,MATCH(Composições!A3493,Orçamentária!A:A,0),1))</f>
        <v>m2</v>
      </c>
      <c r="E3493" s="27"/>
      <c r="F3493" s="49" t="s">
        <v>572</v>
      </c>
      <c r="G3493" s="28" t="str">
        <f t="shared" si="60"/>
        <v/>
      </c>
      <c r="H3493" s="29"/>
      <c r="I3493" s="30"/>
      <c r="J3493" s="156">
        <v>0</v>
      </c>
    </row>
    <row r="3494" spans="1:10" ht="15.75" hidden="1" thickBot="1" x14ac:dyDescent="0.3">
      <c r="A3494" s="222"/>
      <c r="B3494" s="225"/>
      <c r="C3494" s="32"/>
      <c r="D3494" s="32"/>
      <c r="E3494" s="33"/>
      <c r="F3494" s="54" t="s">
        <v>572</v>
      </c>
      <c r="G3494" s="54" t="str">
        <f t="shared" si="60"/>
        <v/>
      </c>
      <c r="H3494" s="73"/>
      <c r="I3494" s="74"/>
      <c r="J3494" s="156">
        <v>0</v>
      </c>
    </row>
    <row r="3495" spans="1:10" ht="15.75" hidden="1" thickBot="1" x14ac:dyDescent="0.3">
      <c r="A3495" s="222"/>
      <c r="B3495" s="225"/>
      <c r="C3495" s="36" t="s">
        <v>54</v>
      </c>
      <c r="D3495" s="36" t="s">
        <v>12</v>
      </c>
      <c r="E3495" s="37">
        <f>1.35</f>
        <v>1.35</v>
      </c>
      <c r="F3495" s="54">
        <v>18.420500000000001</v>
      </c>
      <c r="G3495" s="54">
        <f t="shared" si="60"/>
        <v>24.867675000000002</v>
      </c>
      <c r="H3495" s="39">
        <f>SUM(G3495:G3504)</f>
        <v>54.065510206373503</v>
      </c>
      <c r="I3495" s="40"/>
      <c r="J3495" s="156">
        <v>0</v>
      </c>
    </row>
    <row r="3496" spans="1:10" ht="15.75" hidden="1" thickBot="1" x14ac:dyDescent="0.3">
      <c r="A3496" s="222"/>
      <c r="B3496" s="225"/>
      <c r="C3496" s="36" t="s">
        <v>22</v>
      </c>
      <c r="D3496" s="36" t="s">
        <v>12</v>
      </c>
      <c r="E3496" s="37">
        <v>0.1</v>
      </c>
      <c r="F3496" s="54">
        <v>22.087499999999999</v>
      </c>
      <c r="G3496" s="54">
        <f t="shared" si="60"/>
        <v>2.2087499999999998</v>
      </c>
      <c r="H3496" s="73"/>
      <c r="I3496" s="74"/>
      <c r="J3496" s="156">
        <v>0</v>
      </c>
    </row>
    <row r="3497" spans="1:10" ht="15.75" hidden="1" thickBot="1" x14ac:dyDescent="0.3">
      <c r="A3497" s="222"/>
      <c r="B3497" s="225"/>
      <c r="C3497" s="36" t="s">
        <v>23</v>
      </c>
      <c r="D3497" s="36" t="s">
        <v>12</v>
      </c>
      <c r="E3497" s="37">
        <f>0.6+0.1+0.1</f>
        <v>0.79999999999999993</v>
      </c>
      <c r="F3497" s="54">
        <v>16.311500000000002</v>
      </c>
      <c r="G3497" s="54">
        <f t="shared" si="60"/>
        <v>13.049200000000001</v>
      </c>
      <c r="H3497" s="73"/>
      <c r="I3497" s="74"/>
      <c r="J3497" s="156">
        <v>0</v>
      </c>
    </row>
    <row r="3498" spans="1:10" ht="15.75" hidden="1" thickBot="1" x14ac:dyDescent="0.3">
      <c r="A3498" s="222"/>
      <c r="B3498" s="225"/>
      <c r="C3498" s="36" t="s">
        <v>3623</v>
      </c>
      <c r="D3498" s="36" t="s">
        <v>42</v>
      </c>
      <c r="E3498" s="37">
        <v>4.5</v>
      </c>
      <c r="F3498" s="54">
        <v>1.3109999999999999</v>
      </c>
      <c r="G3498" s="54">
        <f t="shared" si="60"/>
        <v>5.8994999999999997</v>
      </c>
      <c r="H3498" s="73"/>
      <c r="I3498" s="74"/>
      <c r="J3498" s="156">
        <v>0</v>
      </c>
    </row>
    <row r="3499" spans="1:10" ht="15.75" hidden="1" thickBot="1" x14ac:dyDescent="0.3">
      <c r="A3499" s="222"/>
      <c r="B3499" s="225"/>
      <c r="C3499" s="36" t="s">
        <v>3622</v>
      </c>
      <c r="D3499" s="36" t="s">
        <v>42</v>
      </c>
      <c r="E3499" s="37">
        <v>0.3</v>
      </c>
      <c r="F3499" s="54">
        <v>2.508</v>
      </c>
      <c r="G3499" s="54">
        <f t="shared" si="60"/>
        <v>0.75239999999999996</v>
      </c>
      <c r="H3499" s="73"/>
      <c r="I3499" s="74"/>
      <c r="J3499" s="156">
        <v>0</v>
      </c>
    </row>
    <row r="3500" spans="1:10" ht="26.25" hidden="1" thickBot="1" x14ac:dyDescent="0.3">
      <c r="A3500" s="222"/>
      <c r="B3500" s="225"/>
      <c r="C3500" s="36" t="s">
        <v>1098</v>
      </c>
      <c r="D3500" s="36" t="s">
        <v>299</v>
      </c>
      <c r="E3500" s="37">
        <f>2/(0.4*0.8)</f>
        <v>6.2499999999999991</v>
      </c>
      <c r="F3500" s="54">
        <v>1.159</v>
      </c>
      <c r="G3500" s="54">
        <f t="shared" si="60"/>
        <v>7.2437499999999995</v>
      </c>
      <c r="H3500" s="73"/>
      <c r="I3500" s="74"/>
      <c r="J3500" s="156">
        <v>0</v>
      </c>
    </row>
    <row r="3501" spans="1:10" ht="15.75" hidden="1" thickBot="1" x14ac:dyDescent="0.3">
      <c r="A3501" s="222"/>
      <c r="B3501" s="225"/>
      <c r="C3501" s="36" t="s">
        <v>1088</v>
      </c>
      <c r="D3501" s="36" t="s">
        <v>150</v>
      </c>
      <c r="E3501" s="37">
        <f>(2/(0.4*0.8))*(0.016)*1.5</f>
        <v>0.15</v>
      </c>
      <c r="F3501" s="54">
        <v>0</v>
      </c>
      <c r="G3501" s="54">
        <f t="shared" si="60"/>
        <v>0</v>
      </c>
      <c r="H3501" s="73"/>
      <c r="I3501" s="74"/>
      <c r="J3501" s="156">
        <v>0</v>
      </c>
    </row>
    <row r="3502" spans="1:10" ht="15.75" hidden="1" thickBot="1" x14ac:dyDescent="0.3">
      <c r="A3502" s="222"/>
      <c r="B3502" s="225"/>
      <c r="C3502" s="36" t="s">
        <v>1089</v>
      </c>
      <c r="D3502" s="36" t="s">
        <v>1090</v>
      </c>
      <c r="E3502" s="37">
        <f>(2/(0.4*0.8))*0.1*1.5</f>
        <v>0.9375</v>
      </c>
      <c r="F3502" s="54">
        <v>0</v>
      </c>
      <c r="G3502" s="54">
        <f t="shared" si="60"/>
        <v>0</v>
      </c>
      <c r="H3502" s="73"/>
      <c r="I3502" s="74"/>
      <c r="J3502" s="156">
        <v>0</v>
      </c>
    </row>
    <row r="3503" spans="1:10" ht="15.75" hidden="1" thickBot="1" x14ac:dyDescent="0.3">
      <c r="A3503" s="222"/>
      <c r="B3503" s="225"/>
      <c r="C3503" s="36" t="s">
        <v>1099</v>
      </c>
      <c r="D3503" s="36" t="s">
        <v>150</v>
      </c>
      <c r="E3503" s="37">
        <f>2/(0.4*0.8)</f>
        <v>6.2499999999999991</v>
      </c>
      <c r="F3503" s="54" t="s">
        <v>572</v>
      </c>
      <c r="G3503" s="54" t="str">
        <f t="shared" si="60"/>
        <v/>
      </c>
      <c r="H3503" s="73"/>
      <c r="I3503" s="74"/>
      <c r="J3503" s="156">
        <v>0</v>
      </c>
    </row>
    <row r="3504" spans="1:10" ht="39" hidden="1" thickBot="1" x14ac:dyDescent="0.3">
      <c r="A3504" s="222"/>
      <c r="B3504" s="225"/>
      <c r="C3504" s="36" t="s">
        <v>1091</v>
      </c>
      <c r="D3504" s="36" t="s">
        <v>112</v>
      </c>
      <c r="E3504" s="37">
        <v>1E-4</v>
      </c>
      <c r="F3504" s="54">
        <v>442.352063735</v>
      </c>
      <c r="G3504" s="54">
        <f t="shared" si="60"/>
        <v>4.4235206373500001E-2</v>
      </c>
      <c r="H3504" s="73"/>
      <c r="I3504" s="74"/>
      <c r="J3504" s="156">
        <v>0</v>
      </c>
    </row>
    <row r="3505" spans="1:10" ht="15.75" hidden="1" thickBot="1" x14ac:dyDescent="0.3">
      <c r="A3505" s="222"/>
      <c r="B3505" s="225"/>
      <c r="C3505" s="36"/>
      <c r="D3505" s="36"/>
      <c r="E3505" s="37"/>
      <c r="F3505" s="54" t="s">
        <v>572</v>
      </c>
      <c r="G3505" s="54" t="str">
        <f t="shared" si="60"/>
        <v/>
      </c>
      <c r="H3505" s="73"/>
      <c r="I3505" s="74"/>
      <c r="J3505" s="156">
        <v>0</v>
      </c>
    </row>
    <row r="3506" spans="1:10" ht="15.75" hidden="1" thickBot="1" x14ac:dyDescent="0.3">
      <c r="A3506" s="222"/>
      <c r="B3506" s="225"/>
      <c r="C3506" s="153" t="s">
        <v>1100</v>
      </c>
      <c r="D3506" s="36"/>
      <c r="E3506" s="37"/>
      <c r="F3506" s="54" t="s">
        <v>572</v>
      </c>
      <c r="G3506" s="54" t="str">
        <f t="shared" si="60"/>
        <v/>
      </c>
      <c r="H3506" s="73"/>
      <c r="I3506" s="74"/>
      <c r="J3506" s="156">
        <v>0</v>
      </c>
    </row>
    <row r="3507" spans="1:10" ht="26.25" hidden="1" thickBot="1" x14ac:dyDescent="0.3">
      <c r="A3507" s="222"/>
      <c r="B3507" s="225"/>
      <c r="C3507" s="153" t="s">
        <v>1101</v>
      </c>
      <c r="D3507" s="36"/>
      <c r="E3507" s="37"/>
      <c r="F3507" s="54" t="s">
        <v>572</v>
      </c>
      <c r="G3507" s="54" t="str">
        <f t="shared" si="60"/>
        <v/>
      </c>
      <c r="H3507" s="73"/>
      <c r="I3507" s="74"/>
      <c r="J3507" s="156">
        <v>0</v>
      </c>
    </row>
    <row r="3508" spans="1:10" ht="15.75" hidden="1" thickBot="1" x14ac:dyDescent="0.3">
      <c r="A3508" s="223"/>
      <c r="B3508" s="226"/>
      <c r="C3508" s="36"/>
      <c r="D3508" s="36"/>
      <c r="E3508" s="37"/>
      <c r="F3508" s="54" t="s">
        <v>572</v>
      </c>
      <c r="G3508" s="54" t="str">
        <f t="shared" si="60"/>
        <v/>
      </c>
      <c r="H3508" s="73"/>
      <c r="I3508" s="74"/>
      <c r="J3508" s="156">
        <v>0</v>
      </c>
    </row>
    <row r="3509" spans="1:10" ht="15.75" hidden="1" thickBot="1" x14ac:dyDescent="0.3">
      <c r="A3509" s="221" t="s">
        <v>1109</v>
      </c>
      <c r="B3509" s="224" t="str">
        <f>INDEX(Orçamentária!A:B,MATCH(Composições!A3509,Orçamentária!A:A,0),2)</f>
        <v>Aplicação de hidrofugante à base de silano e silicone</v>
      </c>
      <c r="C3509" s="41"/>
      <c r="D3509" s="26" t="str">
        <f>TRIM(INDEX(Orçamentária!C:C,MATCH(Composições!A3509,Orçamentária!A:A,0),1))</f>
        <v>m2</v>
      </c>
      <c r="E3509" s="27"/>
      <c r="F3509" s="49" t="s">
        <v>572</v>
      </c>
      <c r="G3509" s="28" t="str">
        <f t="shared" si="60"/>
        <v/>
      </c>
      <c r="H3509" s="29"/>
      <c r="I3509" s="30"/>
      <c r="J3509" s="156">
        <v>0</v>
      </c>
    </row>
    <row r="3510" spans="1:10" ht="15.75" hidden="1" thickBot="1" x14ac:dyDescent="0.3">
      <c r="A3510" s="227"/>
      <c r="B3510" s="225"/>
      <c r="C3510" s="32"/>
      <c r="D3510" s="32"/>
      <c r="E3510" s="33"/>
      <c r="F3510" s="54" t="s">
        <v>572</v>
      </c>
      <c r="G3510" s="54" t="str">
        <f t="shared" si="60"/>
        <v/>
      </c>
      <c r="H3510" s="73"/>
      <c r="I3510" s="74"/>
      <c r="J3510" s="156">
        <v>0</v>
      </c>
    </row>
    <row r="3511" spans="1:10" ht="15.75" hidden="1" thickBot="1" x14ac:dyDescent="0.3">
      <c r="A3511" s="227"/>
      <c r="B3511" s="225"/>
      <c r="C3511" s="36" t="s">
        <v>103</v>
      </c>
      <c r="D3511" s="36" t="s">
        <v>12</v>
      </c>
      <c r="E3511" s="37">
        <v>0.4</v>
      </c>
      <c r="F3511" s="54">
        <v>23.027999999999999</v>
      </c>
      <c r="G3511" s="54">
        <f t="shared" si="60"/>
        <v>9.2111999999999998</v>
      </c>
      <c r="H3511" s="39">
        <f>SUM(G3511:G3513)</f>
        <v>11.062749999999999</v>
      </c>
      <c r="I3511" s="40"/>
      <c r="J3511" s="156">
        <v>0</v>
      </c>
    </row>
    <row r="3512" spans="1:10" ht="15.75" hidden="1" thickBot="1" x14ac:dyDescent="0.3">
      <c r="A3512" s="227"/>
      <c r="B3512" s="225"/>
      <c r="C3512" s="36" t="s">
        <v>1110</v>
      </c>
      <c r="D3512" s="36" t="s">
        <v>12</v>
      </c>
      <c r="E3512" s="37">
        <v>0.1</v>
      </c>
      <c r="F3512" s="54">
        <v>18.515499999999999</v>
      </c>
      <c r="G3512" s="54">
        <f t="shared" si="60"/>
        <v>1.85155</v>
      </c>
      <c r="H3512" s="73"/>
      <c r="I3512" s="74"/>
      <c r="J3512" s="156">
        <v>0</v>
      </c>
    </row>
    <row r="3513" spans="1:10" ht="15.75" hidden="1" thickBot="1" x14ac:dyDescent="0.3">
      <c r="A3513" s="227"/>
      <c r="B3513" s="225"/>
      <c r="C3513" s="36" t="s">
        <v>1111</v>
      </c>
      <c r="D3513" s="50" t="s">
        <v>105</v>
      </c>
      <c r="E3513" s="37">
        <v>0.33</v>
      </c>
      <c r="F3513" s="54">
        <v>0</v>
      </c>
      <c r="G3513" s="54">
        <f t="shared" si="60"/>
        <v>0</v>
      </c>
      <c r="H3513" s="73"/>
      <c r="I3513" s="74"/>
      <c r="J3513" s="156">
        <v>0</v>
      </c>
    </row>
    <row r="3514" spans="1:10" ht="15.75" hidden="1" thickBot="1" x14ac:dyDescent="0.3">
      <c r="A3514" s="228"/>
      <c r="B3514" s="226"/>
      <c r="C3514" s="36"/>
      <c r="D3514" s="36"/>
      <c r="E3514" s="37"/>
      <c r="F3514" s="54" t="s">
        <v>572</v>
      </c>
      <c r="G3514" s="54" t="str">
        <f t="shared" si="60"/>
        <v/>
      </c>
      <c r="H3514" s="73"/>
      <c r="I3514" s="74"/>
      <c r="J3514" s="156">
        <v>0</v>
      </c>
    </row>
    <row r="3515" spans="1:10" ht="15.75" hidden="1" thickBot="1" x14ac:dyDescent="0.3">
      <c r="A3515" s="221" t="s">
        <v>1112</v>
      </c>
      <c r="B3515" s="224" t="str">
        <f>INDEX(Orçamentária!A:B,MATCH(Composições!A3515,Orçamentária!A:A,0),2)</f>
        <v>Cantoneira em alumínio abas iguais 1" x 1/8" – Pingadeira “L”</v>
      </c>
      <c r="C3515" s="41"/>
      <c r="D3515" s="26" t="str">
        <f>TRIM(INDEX(Orçamentária!C:C,MATCH(Composições!A3515,Orçamentária!A:A,0),1))</f>
        <v>m</v>
      </c>
      <c r="E3515" s="27"/>
      <c r="F3515" s="49" t="s">
        <v>572</v>
      </c>
      <c r="G3515" s="28" t="str">
        <f t="shared" si="60"/>
        <v/>
      </c>
      <c r="H3515" s="29"/>
      <c r="I3515" s="30"/>
      <c r="J3515" s="156">
        <v>0</v>
      </c>
    </row>
    <row r="3516" spans="1:10" ht="15.75" hidden="1" thickBot="1" x14ac:dyDescent="0.3">
      <c r="A3516" s="227"/>
      <c r="B3516" s="225"/>
      <c r="C3516" s="32"/>
      <c r="D3516" s="32"/>
      <c r="E3516" s="33"/>
      <c r="F3516" s="54" t="s">
        <v>572</v>
      </c>
      <c r="G3516" s="54" t="str">
        <f t="shared" si="60"/>
        <v/>
      </c>
      <c r="H3516" s="73"/>
      <c r="I3516" s="74"/>
      <c r="J3516" s="156">
        <v>0</v>
      </c>
    </row>
    <row r="3517" spans="1:10" ht="15.75" hidden="1" thickBot="1" x14ac:dyDescent="0.3">
      <c r="A3517" s="227"/>
      <c r="B3517" s="225"/>
      <c r="C3517" s="36" t="s">
        <v>54</v>
      </c>
      <c r="D3517" s="36" t="s">
        <v>12</v>
      </c>
      <c r="E3517" s="37">
        <v>0.6</v>
      </c>
      <c r="F3517" s="54">
        <v>18.420500000000001</v>
      </c>
      <c r="G3517" s="54">
        <f t="shared" si="60"/>
        <v>11.052300000000001</v>
      </c>
      <c r="H3517" s="39">
        <f>SUM(G3517:G3519)</f>
        <v>17.576900000000002</v>
      </c>
      <c r="I3517" s="40"/>
      <c r="J3517" s="156">
        <v>0</v>
      </c>
    </row>
    <row r="3518" spans="1:10" ht="15.75" hidden="1" thickBot="1" x14ac:dyDescent="0.3">
      <c r="A3518" s="227"/>
      <c r="B3518" s="225"/>
      <c r="C3518" s="36" t="s">
        <v>23</v>
      </c>
      <c r="D3518" s="36" t="s">
        <v>12</v>
      </c>
      <c r="E3518" s="37">
        <v>0.4</v>
      </c>
      <c r="F3518" s="54">
        <v>16.311500000000002</v>
      </c>
      <c r="G3518" s="54">
        <f t="shared" si="60"/>
        <v>6.5246000000000013</v>
      </c>
      <c r="H3518" s="73"/>
      <c r="I3518" s="74"/>
      <c r="J3518" s="156">
        <v>0</v>
      </c>
    </row>
    <row r="3519" spans="1:10" ht="26.25" hidden="1" thickBot="1" x14ac:dyDescent="0.3">
      <c r="A3519" s="227"/>
      <c r="B3519" s="225"/>
      <c r="C3519" s="36" t="s">
        <v>1113</v>
      </c>
      <c r="D3519" s="47" t="s">
        <v>94</v>
      </c>
      <c r="E3519" s="37">
        <v>1</v>
      </c>
      <c r="F3519" s="54" t="s">
        <v>572</v>
      </c>
      <c r="G3519" s="54" t="str">
        <f t="shared" si="60"/>
        <v/>
      </c>
      <c r="H3519" s="73"/>
      <c r="I3519" s="74"/>
      <c r="J3519" s="156">
        <v>0</v>
      </c>
    </row>
    <row r="3520" spans="1:10" ht="15.75" hidden="1" thickBot="1" x14ac:dyDescent="0.3">
      <c r="A3520" s="228"/>
      <c r="B3520" s="226"/>
      <c r="C3520" s="36"/>
      <c r="D3520" s="36"/>
      <c r="E3520" s="37"/>
      <c r="F3520" s="54" t="s">
        <v>572</v>
      </c>
      <c r="G3520" s="54" t="str">
        <f t="shared" si="60"/>
        <v/>
      </c>
      <c r="H3520" s="73"/>
      <c r="I3520" s="74"/>
      <c r="J3520" s="156">
        <v>0</v>
      </c>
    </row>
    <row r="3521" spans="1:10" ht="15.75" hidden="1" thickBot="1" x14ac:dyDescent="0.3">
      <c r="A3521" s="221" t="s">
        <v>1114</v>
      </c>
      <c r="B3521" s="224" t="str">
        <f>INDEX(Orçamentária!A:B,MATCH(Composições!A3521,Orçamentária!A:A,0),2)</f>
        <v>Granito Amarelo Maracujá para rodapé</v>
      </c>
      <c r="C3521" s="41"/>
      <c r="D3521" s="26" t="str">
        <f>TRIM(INDEX(Orçamentária!C:C,MATCH(Composições!A3521,Orçamentária!A:A,0),1))</f>
        <v>m2</v>
      </c>
      <c r="E3521" s="27"/>
      <c r="F3521" s="49" t="s">
        <v>572</v>
      </c>
      <c r="G3521" s="28" t="str">
        <f t="shared" si="60"/>
        <v/>
      </c>
      <c r="H3521" s="29"/>
      <c r="I3521" s="30"/>
      <c r="J3521" s="156">
        <v>0</v>
      </c>
    </row>
    <row r="3522" spans="1:10" ht="15.75" hidden="1" thickBot="1" x14ac:dyDescent="0.3">
      <c r="A3522" s="227"/>
      <c r="B3522" s="225"/>
      <c r="C3522" s="32"/>
      <c r="D3522" s="32"/>
      <c r="E3522" s="33"/>
      <c r="F3522" s="54" t="s">
        <v>572</v>
      </c>
      <c r="G3522" s="54" t="str">
        <f t="shared" si="60"/>
        <v/>
      </c>
      <c r="H3522" s="73"/>
      <c r="I3522" s="74"/>
      <c r="J3522" s="156">
        <v>0</v>
      </c>
    </row>
    <row r="3523" spans="1:10" ht="15.75" hidden="1" thickBot="1" x14ac:dyDescent="0.3">
      <c r="A3523" s="227"/>
      <c r="B3523" s="225"/>
      <c r="C3523" s="36" t="s">
        <v>1115</v>
      </c>
      <c r="D3523" s="36" t="s">
        <v>96</v>
      </c>
      <c r="E3523" s="37">
        <v>1.05</v>
      </c>
      <c r="F3523" s="54" t="s">
        <v>572</v>
      </c>
      <c r="G3523" s="54" t="str">
        <f t="shared" si="60"/>
        <v/>
      </c>
      <c r="H3523" s="39">
        <f>SUM(G3523:G3527)</f>
        <v>93.847099000000014</v>
      </c>
      <c r="I3523" s="40"/>
      <c r="J3523" s="156">
        <v>0</v>
      </c>
    </row>
    <row r="3524" spans="1:10" ht="15.75" hidden="1" thickBot="1" x14ac:dyDescent="0.3">
      <c r="A3524" s="227"/>
      <c r="B3524" s="225"/>
      <c r="C3524" s="36" t="s">
        <v>3623</v>
      </c>
      <c r="D3524" s="36" t="s">
        <v>42</v>
      </c>
      <c r="E3524" s="37">
        <f>0.8614/0.1</f>
        <v>8.6140000000000008</v>
      </c>
      <c r="F3524" s="54">
        <v>1.3109999999999999</v>
      </c>
      <c r="G3524" s="54">
        <f t="shared" si="60"/>
        <v>11.292954</v>
      </c>
      <c r="H3524" s="73"/>
      <c r="I3524" s="74"/>
      <c r="J3524" s="156">
        <v>0</v>
      </c>
    </row>
    <row r="3525" spans="1:10" ht="15.75" hidden="1" thickBot="1" x14ac:dyDescent="0.3">
      <c r="A3525" s="227"/>
      <c r="B3525" s="225"/>
      <c r="C3525" s="36" t="s">
        <v>54</v>
      </c>
      <c r="D3525" s="36" t="s">
        <v>12</v>
      </c>
      <c r="E3525" s="37">
        <f>0.299/0.1</f>
        <v>2.9899999999999998</v>
      </c>
      <c r="F3525" s="54">
        <v>18.420500000000001</v>
      </c>
      <c r="G3525" s="54">
        <f t="shared" si="60"/>
        <v>55.077294999999999</v>
      </c>
      <c r="H3525" s="73"/>
      <c r="I3525" s="74"/>
      <c r="J3525" s="156">
        <v>0</v>
      </c>
    </row>
    <row r="3526" spans="1:10" ht="15.75" hidden="1" thickBot="1" x14ac:dyDescent="0.3">
      <c r="A3526" s="227"/>
      <c r="B3526" s="225"/>
      <c r="C3526" s="36" t="s">
        <v>23</v>
      </c>
      <c r="D3526" s="36" t="s">
        <v>12</v>
      </c>
      <c r="E3526" s="37">
        <f>0.15/0.1</f>
        <v>1.4999999999999998</v>
      </c>
      <c r="F3526" s="54">
        <v>16.311500000000002</v>
      </c>
      <c r="G3526" s="54">
        <f t="shared" si="60"/>
        <v>24.46725</v>
      </c>
      <c r="H3526" s="73"/>
      <c r="I3526" s="74"/>
      <c r="J3526" s="156">
        <v>0</v>
      </c>
    </row>
    <row r="3527" spans="1:10" ht="15.75" hidden="1" thickBot="1" x14ac:dyDescent="0.3">
      <c r="A3527" s="227"/>
      <c r="B3527" s="225"/>
      <c r="C3527" s="36" t="s">
        <v>3622</v>
      </c>
      <c r="D3527" s="36" t="s">
        <v>42</v>
      </c>
      <c r="E3527" s="37">
        <f>0.12/0.1</f>
        <v>1.2</v>
      </c>
      <c r="F3527" s="54">
        <v>2.508</v>
      </c>
      <c r="G3527" s="54">
        <f t="shared" si="60"/>
        <v>3.0095999999999998</v>
      </c>
      <c r="H3527" s="73"/>
      <c r="I3527" s="74"/>
      <c r="J3527" s="156">
        <v>0</v>
      </c>
    </row>
    <row r="3528" spans="1:10" ht="15.75" hidden="1" thickBot="1" x14ac:dyDescent="0.3">
      <c r="A3528" s="227"/>
      <c r="B3528" s="225"/>
      <c r="C3528" s="36"/>
      <c r="D3528" s="36"/>
      <c r="E3528" s="37"/>
      <c r="F3528" s="54" t="s">
        <v>572</v>
      </c>
      <c r="G3528" s="54" t="str">
        <f t="shared" si="60"/>
        <v/>
      </c>
      <c r="H3528" s="73"/>
      <c r="I3528" s="74"/>
      <c r="J3528" s="156">
        <v>0</v>
      </c>
    </row>
    <row r="3529" spans="1:10" ht="15.75" hidden="1" thickBot="1" x14ac:dyDescent="0.3">
      <c r="A3529" s="221" t="s">
        <v>1116</v>
      </c>
      <c r="B3529" s="224" t="str">
        <f>INDEX(Orçamentária!A:B,MATCH(Composições!A3529,Orçamentária!A:A,0),2)</f>
        <v>Acabamento das extremidades aparentes dos parafusos de fixação (lixamento e revestimento)</v>
      </c>
      <c r="C3529" s="41"/>
      <c r="D3529" s="26" t="str">
        <f>TRIM(INDEX(Orçamentária!C:C,MATCH(Composições!A3529,Orçamentária!A:A,0),1))</f>
        <v>un</v>
      </c>
      <c r="E3529" s="27"/>
      <c r="F3529" s="49" t="s">
        <v>572</v>
      </c>
      <c r="G3529" s="28" t="str">
        <f t="shared" si="60"/>
        <v/>
      </c>
      <c r="H3529" s="29"/>
      <c r="I3529" s="30"/>
      <c r="J3529" s="156">
        <v>0</v>
      </c>
    </row>
    <row r="3530" spans="1:10" ht="15.75" hidden="1" thickBot="1" x14ac:dyDescent="0.3">
      <c r="A3530" s="227"/>
      <c r="B3530" s="225"/>
      <c r="C3530" s="32"/>
      <c r="D3530" s="32"/>
      <c r="E3530" s="33"/>
      <c r="F3530" s="54" t="s">
        <v>572</v>
      </c>
      <c r="G3530" s="54" t="str">
        <f t="shared" si="60"/>
        <v/>
      </c>
      <c r="H3530" s="73"/>
      <c r="I3530" s="74"/>
      <c r="J3530" s="156">
        <v>0</v>
      </c>
    </row>
    <row r="3531" spans="1:10" ht="15.75" hidden="1" thickBot="1" x14ac:dyDescent="0.3">
      <c r="A3531" s="227"/>
      <c r="B3531" s="225"/>
      <c r="C3531" s="36" t="s">
        <v>23</v>
      </c>
      <c r="D3531" s="36" t="s">
        <v>12</v>
      </c>
      <c r="E3531" s="37">
        <v>0.05</v>
      </c>
      <c r="F3531" s="54">
        <v>16.311500000000002</v>
      </c>
      <c r="G3531" s="54">
        <f t="shared" si="60"/>
        <v>0.81557500000000016</v>
      </c>
      <c r="H3531" s="39">
        <f>SUM(G3531:G3534)</f>
        <v>0.94097500000000012</v>
      </c>
      <c r="I3531" s="40"/>
      <c r="J3531" s="156">
        <v>0</v>
      </c>
    </row>
    <row r="3532" spans="1:10" ht="15.75" hidden="1" thickBot="1" x14ac:dyDescent="0.3">
      <c r="A3532" s="227"/>
      <c r="B3532" s="225"/>
      <c r="C3532" s="36" t="s">
        <v>1117</v>
      </c>
      <c r="D3532" s="36" t="s">
        <v>1118</v>
      </c>
      <c r="E3532" s="37">
        <f>0.25/10</f>
        <v>2.5000000000000001E-2</v>
      </c>
      <c r="F3532" s="54">
        <v>0</v>
      </c>
      <c r="G3532" s="54">
        <f t="shared" si="60"/>
        <v>0</v>
      </c>
      <c r="H3532" s="73"/>
      <c r="I3532" s="74"/>
      <c r="J3532" s="156">
        <v>0</v>
      </c>
    </row>
    <row r="3533" spans="1:10" ht="15.75" hidden="1" thickBot="1" x14ac:dyDescent="0.3">
      <c r="A3533" s="227"/>
      <c r="B3533" s="225"/>
      <c r="C3533" s="36" t="s">
        <v>1119</v>
      </c>
      <c r="D3533" s="36" t="s">
        <v>20</v>
      </c>
      <c r="E3533" s="37">
        <v>0.25</v>
      </c>
      <c r="F3533" s="54" t="s">
        <v>572</v>
      </c>
      <c r="G3533" s="54" t="str">
        <f t="shared" si="60"/>
        <v/>
      </c>
      <c r="H3533" s="73"/>
      <c r="I3533" s="74"/>
      <c r="J3533" s="156">
        <v>0</v>
      </c>
    </row>
    <row r="3534" spans="1:10" ht="15.75" hidden="1" thickBot="1" x14ac:dyDescent="0.3">
      <c r="A3534" s="227"/>
      <c r="B3534" s="225"/>
      <c r="C3534" s="36" t="s">
        <v>3622</v>
      </c>
      <c r="D3534" s="47" t="s">
        <v>42</v>
      </c>
      <c r="E3534" s="37">
        <v>0.05</v>
      </c>
      <c r="F3534" s="54">
        <v>2.508</v>
      </c>
      <c r="G3534" s="54">
        <f t="shared" si="60"/>
        <v>0.12540000000000001</v>
      </c>
      <c r="H3534" s="73"/>
      <c r="I3534" s="74"/>
      <c r="J3534" s="156">
        <v>0</v>
      </c>
    </row>
    <row r="3535" spans="1:10" ht="15.75" hidden="1" thickBot="1" x14ac:dyDescent="0.3">
      <c r="A3535" s="228"/>
      <c r="B3535" s="226"/>
      <c r="C3535" s="36"/>
      <c r="D3535" s="36"/>
      <c r="E3535" s="37"/>
      <c r="F3535" s="54" t="s">
        <v>572</v>
      </c>
      <c r="G3535" s="54" t="str">
        <f t="shared" si="60"/>
        <v/>
      </c>
      <c r="H3535" s="73"/>
      <c r="I3535" s="74"/>
      <c r="J3535" s="156">
        <v>0</v>
      </c>
    </row>
    <row r="3536" spans="1:10" ht="15.75" hidden="1" thickBot="1" x14ac:dyDescent="0.3">
      <c r="A3536" s="221" t="s">
        <v>1120</v>
      </c>
      <c r="B3536" s="224" t="str">
        <f>INDEX(Orçamentária!A:B,MATCH(Composições!A3536,Orçamentária!A:A,0),2)</f>
        <v>Rejuntamento de placas de rocha ornamental em fachada</v>
      </c>
      <c r="C3536" s="41"/>
      <c r="D3536" s="26" t="str">
        <f>TRIM(INDEX(Orçamentária!C:C,MATCH(Composições!A3536,Orçamentária!A:A,0),1))</f>
        <v>m2</v>
      </c>
      <c r="E3536" s="27"/>
      <c r="F3536" s="49" t="s">
        <v>572</v>
      </c>
      <c r="G3536" s="28" t="str">
        <f t="shared" si="60"/>
        <v/>
      </c>
      <c r="H3536" s="29"/>
      <c r="I3536" s="30"/>
      <c r="J3536" s="156">
        <v>0</v>
      </c>
    </row>
    <row r="3537" spans="1:10" ht="15.75" hidden="1" thickBot="1" x14ac:dyDescent="0.3">
      <c r="A3537" s="227"/>
      <c r="B3537" s="225"/>
      <c r="C3537" s="32"/>
      <c r="D3537" s="32"/>
      <c r="E3537" s="33"/>
      <c r="F3537" s="54" t="s">
        <v>572</v>
      </c>
      <c r="G3537" s="54" t="str">
        <f t="shared" si="60"/>
        <v/>
      </c>
      <c r="H3537" s="73"/>
      <c r="I3537" s="74"/>
      <c r="J3537" s="156">
        <v>0</v>
      </c>
    </row>
    <row r="3538" spans="1:10" ht="15.75" hidden="1" thickBot="1" x14ac:dyDescent="0.3">
      <c r="A3538" s="227"/>
      <c r="B3538" s="225"/>
      <c r="C3538" s="36" t="s">
        <v>23</v>
      </c>
      <c r="D3538" s="36" t="s">
        <v>12</v>
      </c>
      <c r="E3538" s="37">
        <v>0.25</v>
      </c>
      <c r="F3538" s="54">
        <v>16.311500000000002</v>
      </c>
      <c r="G3538" s="54">
        <f t="shared" ref="G3538:G3601" si="61">IF(ISNUMBER(F3538),E3538*F3538,"")</f>
        <v>4.0778750000000006</v>
      </c>
      <c r="H3538" s="39">
        <f>SUM(G3538:G3539)</f>
        <v>5.4046070000000004</v>
      </c>
      <c r="I3538" s="40"/>
      <c r="J3538" s="156">
        <v>0</v>
      </c>
    </row>
    <row r="3539" spans="1:10" ht="15.75" hidden="1" thickBot="1" x14ac:dyDescent="0.3">
      <c r="A3539" s="227"/>
      <c r="B3539" s="225"/>
      <c r="C3539" s="36" t="s">
        <v>3622</v>
      </c>
      <c r="D3539" s="47" t="s">
        <v>42</v>
      </c>
      <c r="E3539" s="37">
        <v>0.52900000000000003</v>
      </c>
      <c r="F3539" s="54">
        <v>2.508</v>
      </c>
      <c r="G3539" s="54">
        <f t="shared" si="61"/>
        <v>1.326732</v>
      </c>
      <c r="H3539" s="73"/>
      <c r="I3539" s="74"/>
      <c r="J3539" s="156">
        <v>0</v>
      </c>
    </row>
    <row r="3540" spans="1:10" ht="15.75" hidden="1" thickBot="1" x14ac:dyDescent="0.3">
      <c r="A3540" s="228"/>
      <c r="B3540" s="226"/>
      <c r="C3540" s="36"/>
      <c r="D3540" s="36"/>
      <c r="E3540" s="37"/>
      <c r="F3540" s="54" t="s">
        <v>572</v>
      </c>
      <c r="G3540" s="54" t="str">
        <f t="shared" si="61"/>
        <v/>
      </c>
      <c r="H3540" s="73"/>
      <c r="I3540" s="74"/>
      <c r="J3540" s="156">
        <v>0</v>
      </c>
    </row>
    <row r="3541" spans="1:10" ht="15.75" hidden="1" thickBot="1" x14ac:dyDescent="0.3">
      <c r="A3541" s="221" t="s">
        <v>1121</v>
      </c>
      <c r="B3541" s="224" t="str">
        <f>INDEX(Orçamentária!A:B,MATCH(Composições!A3541,Orçamentária!A:A,0),2)</f>
        <v>Junta de movimentação em fachada</v>
      </c>
      <c r="C3541" s="41"/>
      <c r="D3541" s="26" t="str">
        <f>TRIM(INDEX(Orçamentária!C:C,MATCH(Composições!A3541,Orçamentária!A:A,0),1))</f>
        <v>m</v>
      </c>
      <c r="E3541" s="27"/>
      <c r="F3541" s="49" t="s">
        <v>572</v>
      </c>
      <c r="G3541" s="28" t="str">
        <f t="shared" si="61"/>
        <v/>
      </c>
      <c r="H3541" s="29"/>
      <c r="I3541" s="30"/>
      <c r="J3541" s="156">
        <v>0</v>
      </c>
    </row>
    <row r="3542" spans="1:10" ht="15.75" hidden="1" thickBot="1" x14ac:dyDescent="0.3">
      <c r="A3542" s="227"/>
      <c r="B3542" s="225"/>
      <c r="C3542" s="32"/>
      <c r="D3542" s="32"/>
      <c r="E3542" s="33"/>
      <c r="F3542" s="54" t="s">
        <v>572</v>
      </c>
      <c r="G3542" s="54" t="str">
        <f t="shared" si="61"/>
        <v/>
      </c>
      <c r="H3542" s="73"/>
      <c r="I3542" s="74"/>
      <c r="J3542" s="156">
        <v>0</v>
      </c>
    </row>
    <row r="3543" spans="1:10" ht="15.75" hidden="1" thickBot="1" x14ac:dyDescent="0.3">
      <c r="A3543" s="227"/>
      <c r="B3543" s="225"/>
      <c r="C3543" s="36" t="s">
        <v>22</v>
      </c>
      <c r="D3543" s="36" t="s">
        <v>12</v>
      </c>
      <c r="E3543" s="37">
        <v>0.33</v>
      </c>
      <c r="F3543" s="54">
        <v>22.087499999999999</v>
      </c>
      <c r="G3543" s="54">
        <f t="shared" si="61"/>
        <v>7.288875</v>
      </c>
      <c r="H3543" s="39">
        <f>SUM(G3543:G3547)</f>
        <v>22.476725449999996</v>
      </c>
      <c r="I3543" s="40"/>
      <c r="J3543" s="156">
        <v>0</v>
      </c>
    </row>
    <row r="3544" spans="1:10" ht="15.75" hidden="1" thickBot="1" x14ac:dyDescent="0.3">
      <c r="A3544" s="227"/>
      <c r="B3544" s="225"/>
      <c r="C3544" s="36" t="s">
        <v>23</v>
      </c>
      <c r="D3544" s="36" t="s">
        <v>12</v>
      </c>
      <c r="E3544" s="37">
        <v>0.1</v>
      </c>
      <c r="F3544" s="54">
        <v>16.311500000000002</v>
      </c>
      <c r="G3544" s="54">
        <f t="shared" si="61"/>
        <v>1.6311500000000003</v>
      </c>
      <c r="H3544" s="73"/>
      <c r="I3544" s="74"/>
      <c r="J3544" s="156">
        <v>0</v>
      </c>
    </row>
    <row r="3545" spans="1:10" ht="15.75" hidden="1" thickBot="1" x14ac:dyDescent="0.3">
      <c r="A3545" s="227"/>
      <c r="B3545" s="225"/>
      <c r="C3545" s="36" t="s">
        <v>1122</v>
      </c>
      <c r="D3545" s="50" t="s">
        <v>105</v>
      </c>
      <c r="E3545" s="37">
        <v>0.15</v>
      </c>
      <c r="F3545" s="54">
        <v>0</v>
      </c>
      <c r="G3545" s="54">
        <f t="shared" si="61"/>
        <v>0</v>
      </c>
      <c r="H3545" s="73"/>
      <c r="I3545" s="74"/>
      <c r="J3545" s="156">
        <v>0</v>
      </c>
    </row>
    <row r="3546" spans="1:10" ht="15.75" hidden="1" thickBot="1" x14ac:dyDescent="0.3">
      <c r="A3546" s="227"/>
      <c r="B3546" s="225"/>
      <c r="C3546" s="36" t="s">
        <v>1123</v>
      </c>
      <c r="D3546" s="47" t="s">
        <v>94</v>
      </c>
      <c r="E3546" s="37">
        <v>1</v>
      </c>
      <c r="F3546" s="54">
        <v>0</v>
      </c>
      <c r="G3546" s="54">
        <f t="shared" si="61"/>
        <v>0</v>
      </c>
      <c r="H3546" s="73"/>
      <c r="I3546" s="74"/>
      <c r="J3546" s="156">
        <v>0</v>
      </c>
    </row>
    <row r="3547" spans="1:10" ht="26.25" hidden="1" thickBot="1" x14ac:dyDescent="0.3">
      <c r="A3547" s="227"/>
      <c r="B3547" s="225"/>
      <c r="C3547" s="36" t="s">
        <v>1124</v>
      </c>
      <c r="D3547" s="47" t="s">
        <v>1125</v>
      </c>
      <c r="E3547" s="37">
        <f>ROUND(0.15/0.31,4)</f>
        <v>0.4839</v>
      </c>
      <c r="F3547" s="54">
        <v>28.015499999999996</v>
      </c>
      <c r="G3547" s="54">
        <f t="shared" si="61"/>
        <v>13.556700449999997</v>
      </c>
      <c r="H3547" s="73"/>
      <c r="I3547" s="74"/>
      <c r="J3547" s="156">
        <v>0</v>
      </c>
    </row>
    <row r="3548" spans="1:10" ht="15.75" hidden="1" thickBot="1" x14ac:dyDescent="0.3">
      <c r="A3548" s="228"/>
      <c r="B3548" s="226"/>
      <c r="C3548" s="36"/>
      <c r="D3548" s="36"/>
      <c r="E3548" s="37"/>
      <c r="F3548" s="54" t="s">
        <v>572</v>
      </c>
      <c r="G3548" s="54" t="str">
        <f t="shared" si="61"/>
        <v/>
      </c>
      <c r="H3548" s="73"/>
      <c r="I3548" s="74"/>
      <c r="J3548" s="156">
        <v>0</v>
      </c>
    </row>
    <row r="3549" spans="1:10" ht="15.75" hidden="1" thickBot="1" x14ac:dyDescent="0.3">
      <c r="A3549" s="221" t="s">
        <v>1126</v>
      </c>
      <c r="B3549" s="224" t="str">
        <f>INDEX(Orçamentária!A:B,MATCH(Composições!A3549,Orçamentária!A:A,0),2)</f>
        <v>Adesivo Selante Poliuretano – fornecimento e aplicação</v>
      </c>
      <c r="C3549" s="41"/>
      <c r="D3549" s="26" t="str">
        <f>TRIM(INDEX(Orçamentária!C:C,MATCH(Composições!A3549,Orçamentária!A:A,0),1))</f>
        <v>m</v>
      </c>
      <c r="E3549" s="27"/>
      <c r="F3549" s="49" t="s">
        <v>572</v>
      </c>
      <c r="G3549" s="28" t="str">
        <f t="shared" si="61"/>
        <v/>
      </c>
      <c r="H3549" s="29"/>
      <c r="I3549" s="30"/>
      <c r="J3549" s="156">
        <v>0</v>
      </c>
    </row>
    <row r="3550" spans="1:10" ht="15.75" hidden="1" thickBot="1" x14ac:dyDescent="0.3">
      <c r="A3550" s="227"/>
      <c r="B3550" s="225"/>
      <c r="C3550" s="32"/>
      <c r="D3550" s="32"/>
      <c r="E3550" s="33"/>
      <c r="F3550" s="54" t="s">
        <v>572</v>
      </c>
      <c r="G3550" s="54" t="str">
        <f t="shared" si="61"/>
        <v/>
      </c>
      <c r="H3550" s="73"/>
      <c r="I3550" s="74"/>
      <c r="J3550" s="156">
        <v>0</v>
      </c>
    </row>
    <row r="3551" spans="1:10" ht="15.75" hidden="1" thickBot="1" x14ac:dyDescent="0.3">
      <c r="A3551" s="227"/>
      <c r="B3551" s="225"/>
      <c r="C3551" s="36" t="s">
        <v>22</v>
      </c>
      <c r="D3551" s="36" t="s">
        <v>12</v>
      </c>
      <c r="E3551" s="37">
        <v>0.16500000000000001</v>
      </c>
      <c r="F3551" s="54">
        <v>22.087499999999999</v>
      </c>
      <c r="G3551" s="54">
        <f t="shared" si="61"/>
        <v>3.6444375</v>
      </c>
      <c r="H3551" s="39">
        <f>SUM(G3551:G3553)</f>
        <v>14.610352099999998</v>
      </c>
      <c r="I3551" s="40"/>
      <c r="J3551" s="156">
        <v>0</v>
      </c>
    </row>
    <row r="3552" spans="1:10" ht="15.75" hidden="1" thickBot="1" x14ac:dyDescent="0.3">
      <c r="A3552" s="227"/>
      <c r="B3552" s="225"/>
      <c r="C3552" s="36" t="s">
        <v>23</v>
      </c>
      <c r="D3552" s="36" t="s">
        <v>12</v>
      </c>
      <c r="E3552" s="37">
        <v>0.1</v>
      </c>
      <c r="F3552" s="54">
        <v>16.311500000000002</v>
      </c>
      <c r="G3552" s="54">
        <f t="shared" si="61"/>
        <v>1.6311500000000003</v>
      </c>
      <c r="H3552" s="73"/>
      <c r="I3552" s="74"/>
      <c r="J3552" s="156">
        <v>0</v>
      </c>
    </row>
    <row r="3553" spans="1:10" ht="26.25" hidden="1" thickBot="1" x14ac:dyDescent="0.3">
      <c r="A3553" s="227"/>
      <c r="B3553" s="225"/>
      <c r="C3553" s="36" t="s">
        <v>1124</v>
      </c>
      <c r="D3553" s="47" t="s">
        <v>1125</v>
      </c>
      <c r="E3553" s="37">
        <f>ROUND(0.1033/0.31,4)</f>
        <v>0.3332</v>
      </c>
      <c r="F3553" s="54">
        <v>28.015499999999996</v>
      </c>
      <c r="G3553" s="54">
        <f t="shared" si="61"/>
        <v>9.334764599999998</v>
      </c>
      <c r="H3553" s="73"/>
      <c r="I3553" s="74"/>
      <c r="J3553" s="156">
        <v>0</v>
      </c>
    </row>
    <row r="3554" spans="1:10" ht="15.75" hidden="1" thickBot="1" x14ac:dyDescent="0.3">
      <c r="A3554" s="228"/>
      <c r="B3554" s="226"/>
      <c r="C3554" s="36"/>
      <c r="D3554" s="36"/>
      <c r="E3554" s="37"/>
      <c r="F3554" s="54" t="s">
        <v>572</v>
      </c>
      <c r="G3554" s="54" t="str">
        <f t="shared" si="61"/>
        <v/>
      </c>
      <c r="H3554" s="73"/>
      <c r="I3554" s="74"/>
      <c r="J3554" s="156">
        <v>0</v>
      </c>
    </row>
    <row r="3555" spans="1:10" ht="15.75" hidden="1" thickBot="1" x14ac:dyDescent="0.3">
      <c r="A3555" s="221" t="s">
        <v>1127</v>
      </c>
      <c r="B3555" s="224" t="str">
        <f>INDEX(Orçamentária!A:B,MATCH(Composições!A3555,Orçamentária!A:A,0),2)</f>
        <v>Chuveiro elétrico</v>
      </c>
      <c r="C3555" s="41"/>
      <c r="D3555" s="26" t="str">
        <f>TRIM(INDEX(Orçamentária!C:C,MATCH(Composições!A3555,Orçamentária!A:A,0),1))</f>
        <v>un</v>
      </c>
      <c r="E3555" s="27"/>
      <c r="F3555" s="49" t="s">
        <v>572</v>
      </c>
      <c r="G3555" s="28" t="str">
        <f t="shared" si="61"/>
        <v/>
      </c>
      <c r="H3555" s="29"/>
      <c r="I3555" s="30"/>
      <c r="J3555" s="156">
        <v>0</v>
      </c>
    </row>
    <row r="3556" spans="1:10" ht="15.75" hidden="1" thickBot="1" x14ac:dyDescent="0.3">
      <c r="A3556" s="227"/>
      <c r="B3556" s="225"/>
      <c r="C3556" s="32"/>
      <c r="D3556" s="32"/>
      <c r="E3556" s="33"/>
      <c r="F3556" s="54" t="s">
        <v>572</v>
      </c>
      <c r="G3556" s="54" t="str">
        <f t="shared" si="61"/>
        <v/>
      </c>
      <c r="H3556" s="73"/>
      <c r="I3556" s="74"/>
      <c r="J3556" s="156">
        <v>0</v>
      </c>
    </row>
    <row r="3557" spans="1:10" ht="26.25" hidden="1" thickBot="1" x14ac:dyDescent="0.3">
      <c r="A3557" s="227"/>
      <c r="B3557" s="225"/>
      <c r="C3557" s="36" t="s">
        <v>1128</v>
      </c>
      <c r="D3557" s="36" t="s">
        <v>299</v>
      </c>
      <c r="E3557" s="37">
        <v>1</v>
      </c>
      <c r="F3557" s="54">
        <v>60.363</v>
      </c>
      <c r="G3557" s="54">
        <f t="shared" si="61"/>
        <v>60.363</v>
      </c>
      <c r="H3557" s="39">
        <f>SUM(G3557:G3560)</f>
        <v>72.39438045</v>
      </c>
      <c r="I3557" s="40"/>
      <c r="J3557" s="156">
        <v>0</v>
      </c>
    </row>
    <row r="3558" spans="1:10" ht="15.75" hidden="1" thickBot="1" x14ac:dyDescent="0.3">
      <c r="A3558" s="227"/>
      <c r="B3558" s="225"/>
      <c r="C3558" s="36" t="s">
        <v>1129</v>
      </c>
      <c r="D3558" s="36" t="s">
        <v>299</v>
      </c>
      <c r="E3558" s="37">
        <v>2.1000000000000001E-2</v>
      </c>
      <c r="F3558" s="54">
        <v>3.7049999999999996</v>
      </c>
      <c r="G3558" s="54">
        <f t="shared" si="61"/>
        <v>7.7804999999999999E-2</v>
      </c>
      <c r="H3558" s="73"/>
      <c r="I3558" s="74"/>
      <c r="J3558" s="156">
        <v>0</v>
      </c>
    </row>
    <row r="3559" spans="1:10" ht="26.25" hidden="1" thickBot="1" x14ac:dyDescent="0.3">
      <c r="A3559" s="227"/>
      <c r="B3559" s="225"/>
      <c r="C3559" s="36" t="s">
        <v>1013</v>
      </c>
      <c r="D3559" s="36" t="s">
        <v>759</v>
      </c>
      <c r="E3559" s="37">
        <v>0.44669999999999999</v>
      </c>
      <c r="F3559" s="54">
        <v>21.622</v>
      </c>
      <c r="G3559" s="54">
        <f t="shared" si="61"/>
        <v>9.6585473999999998</v>
      </c>
      <c r="H3559" s="73"/>
      <c r="I3559" s="74"/>
      <c r="J3559" s="156">
        <v>0</v>
      </c>
    </row>
    <row r="3560" spans="1:10" ht="15.75" hidden="1" thickBot="1" x14ac:dyDescent="0.3">
      <c r="A3560" s="227"/>
      <c r="B3560" s="225"/>
      <c r="C3560" s="36" t="s">
        <v>760</v>
      </c>
      <c r="D3560" s="36" t="s">
        <v>759</v>
      </c>
      <c r="E3560" s="37">
        <v>0.14069999999999999</v>
      </c>
      <c r="F3560" s="54">
        <v>16.311500000000002</v>
      </c>
      <c r="G3560" s="54">
        <f t="shared" si="61"/>
        <v>2.29502805</v>
      </c>
      <c r="H3560" s="73"/>
      <c r="I3560" s="74"/>
      <c r="J3560" s="156">
        <v>0</v>
      </c>
    </row>
    <row r="3561" spans="1:10" ht="15.75" hidden="1" thickBot="1" x14ac:dyDescent="0.3">
      <c r="A3561" s="228"/>
      <c r="B3561" s="226"/>
      <c r="C3561" s="36"/>
      <c r="D3561" s="36"/>
      <c r="E3561" s="37"/>
      <c r="F3561" s="54" t="s">
        <v>572</v>
      </c>
      <c r="G3561" s="54" t="str">
        <f t="shared" si="61"/>
        <v/>
      </c>
      <c r="H3561" s="73"/>
      <c r="I3561" s="74"/>
      <c r="J3561" s="156">
        <v>0</v>
      </c>
    </row>
    <row r="3562" spans="1:10" ht="15.75" hidden="1" thickBot="1" x14ac:dyDescent="0.3">
      <c r="A3562" s="221" t="s">
        <v>1130</v>
      </c>
      <c r="B3562" s="224" t="str">
        <f>INDEX(Orçamentária!A:B,MATCH(Composições!A3562,Orçamentária!A:A,0),2)</f>
        <v>Base para pavimentação com concreto magro</v>
      </c>
      <c r="C3562" s="41"/>
      <c r="D3562" s="26" t="str">
        <f>TRIM(INDEX(Orçamentária!C:C,MATCH(Composições!A3562,Orçamentária!A:A,0),1))</f>
        <v>m3</v>
      </c>
      <c r="E3562" s="27"/>
      <c r="F3562" s="49" t="s">
        <v>572</v>
      </c>
      <c r="G3562" s="28" t="str">
        <f t="shared" si="61"/>
        <v/>
      </c>
      <c r="H3562" s="29"/>
      <c r="I3562" s="30"/>
      <c r="J3562" s="156">
        <v>0</v>
      </c>
    </row>
    <row r="3563" spans="1:10" ht="15.75" hidden="1" thickBot="1" x14ac:dyDescent="0.3">
      <c r="A3563" s="227"/>
      <c r="B3563" s="225"/>
      <c r="C3563" s="32"/>
      <c r="D3563" s="32"/>
      <c r="E3563" s="33"/>
      <c r="F3563" s="54" t="s">
        <v>572</v>
      </c>
      <c r="G3563" s="54" t="str">
        <f t="shared" si="61"/>
        <v/>
      </c>
      <c r="H3563" s="73"/>
      <c r="I3563" s="74"/>
      <c r="J3563" s="156">
        <v>0</v>
      </c>
    </row>
    <row r="3564" spans="1:10" ht="15.75" hidden="1" thickBot="1" x14ac:dyDescent="0.3">
      <c r="A3564" s="227"/>
      <c r="B3564" s="225"/>
      <c r="C3564" s="36" t="s">
        <v>22</v>
      </c>
      <c r="D3564" s="36" t="s">
        <v>759</v>
      </c>
      <c r="E3564" s="37">
        <v>2</v>
      </c>
      <c r="F3564" s="54">
        <v>22.087499999999999</v>
      </c>
      <c r="G3564" s="54">
        <f t="shared" si="61"/>
        <v>44.174999999999997</v>
      </c>
      <c r="H3564" s="39">
        <f>SUM(G3564:G3566)</f>
        <v>506.55758742980004</v>
      </c>
      <c r="I3564" s="40"/>
      <c r="J3564" s="156">
        <v>0</v>
      </c>
    </row>
    <row r="3565" spans="1:10" ht="15.75" hidden="1" thickBot="1" x14ac:dyDescent="0.3">
      <c r="A3565" s="227"/>
      <c r="B3565" s="225"/>
      <c r="C3565" s="36" t="s">
        <v>23</v>
      </c>
      <c r="D3565" s="36" t="s">
        <v>759</v>
      </c>
      <c r="E3565" s="37">
        <v>6</v>
      </c>
      <c r="F3565" s="54">
        <v>16.311500000000002</v>
      </c>
      <c r="G3565" s="54">
        <f t="shared" si="61"/>
        <v>97.869000000000014</v>
      </c>
      <c r="H3565" s="73"/>
      <c r="I3565" s="74"/>
      <c r="J3565" s="156">
        <v>0</v>
      </c>
    </row>
    <row r="3566" spans="1:10" ht="39" hidden="1" thickBot="1" x14ac:dyDescent="0.3">
      <c r="A3566" s="227"/>
      <c r="B3566" s="225"/>
      <c r="C3566" s="36" t="s">
        <v>1131</v>
      </c>
      <c r="D3566" s="47" t="s">
        <v>124</v>
      </c>
      <c r="E3566" s="37">
        <v>1</v>
      </c>
      <c r="F3566" s="54">
        <v>364.5135874298</v>
      </c>
      <c r="G3566" s="54">
        <f t="shared" si="61"/>
        <v>364.5135874298</v>
      </c>
      <c r="H3566" s="73"/>
      <c r="I3566" s="74"/>
      <c r="J3566" s="156">
        <v>0</v>
      </c>
    </row>
    <row r="3567" spans="1:10" ht="15.75" hidden="1" thickBot="1" x14ac:dyDescent="0.3">
      <c r="A3567" s="228"/>
      <c r="B3567" s="226"/>
      <c r="C3567" s="36"/>
      <c r="D3567" s="36"/>
      <c r="E3567" s="37"/>
      <c r="F3567" s="54" t="s">
        <v>572</v>
      </c>
      <c r="G3567" s="54" t="str">
        <f t="shared" si="61"/>
        <v/>
      </c>
      <c r="H3567" s="73"/>
      <c r="I3567" s="74"/>
      <c r="J3567" s="156">
        <v>0</v>
      </c>
    </row>
    <row r="3568" spans="1:10" ht="15.75" hidden="1" thickBot="1" x14ac:dyDescent="0.3">
      <c r="A3568" s="221" t="s">
        <v>1132</v>
      </c>
      <c r="B3568" s="224" t="str">
        <f>INDEX(Orçamentária!A:B,MATCH(Composições!A3568,Orçamentária!A:A,0),2)</f>
        <v>Pavimentação em concreto armado simples</v>
      </c>
      <c r="C3568" s="41"/>
      <c r="D3568" s="26" t="str">
        <f>TRIM(INDEX(Orçamentária!C:C,MATCH(Composições!A3568,Orçamentária!A:A,0),1))</f>
        <v>m2</v>
      </c>
      <c r="E3568" s="27"/>
      <c r="F3568" s="49" t="s">
        <v>572</v>
      </c>
      <c r="G3568" s="28" t="str">
        <f t="shared" si="61"/>
        <v/>
      </c>
      <c r="H3568" s="29"/>
      <c r="I3568" s="30"/>
      <c r="J3568" s="156">
        <v>0</v>
      </c>
    </row>
    <row r="3569" spans="1:10" ht="15.75" hidden="1" thickBot="1" x14ac:dyDescent="0.3">
      <c r="A3569" s="222"/>
      <c r="B3569" s="225"/>
      <c r="C3569" s="32"/>
      <c r="D3569" s="32"/>
      <c r="E3569" s="33"/>
      <c r="F3569" s="54" t="s">
        <v>572</v>
      </c>
      <c r="G3569" s="54" t="str">
        <f t="shared" si="61"/>
        <v/>
      </c>
      <c r="H3569" s="73"/>
      <c r="I3569" s="74"/>
      <c r="J3569" s="156">
        <v>0</v>
      </c>
    </row>
    <row r="3570" spans="1:10" ht="39" hidden="1" thickBot="1" x14ac:dyDescent="0.3">
      <c r="A3570" s="222"/>
      <c r="B3570" s="225"/>
      <c r="C3570" s="36" t="s">
        <v>3453</v>
      </c>
      <c r="D3570" s="36" t="s">
        <v>124</v>
      </c>
      <c r="E3570" s="37">
        <v>8.14E-2</v>
      </c>
      <c r="F3570" s="54">
        <v>283.57499999999999</v>
      </c>
      <c r="G3570" s="54">
        <f t="shared" si="61"/>
        <v>23.083005</v>
      </c>
      <c r="H3570" s="39">
        <f>SUM(G3570:G3576)</f>
        <v>104.13309575000001</v>
      </c>
      <c r="I3570" s="40"/>
      <c r="J3570" s="156">
        <v>0</v>
      </c>
    </row>
    <row r="3571" spans="1:10" ht="26.25" hidden="1" thickBot="1" x14ac:dyDescent="0.3">
      <c r="A3571" s="222"/>
      <c r="B3571" s="225"/>
      <c r="C3571" s="36" t="s">
        <v>3456</v>
      </c>
      <c r="D3571" s="36" t="s">
        <v>957</v>
      </c>
      <c r="E3571" s="37">
        <v>4</v>
      </c>
      <c r="F3571" s="54">
        <v>7.1914999999999996</v>
      </c>
      <c r="G3571" s="54">
        <f t="shared" si="61"/>
        <v>28.765999999999998</v>
      </c>
      <c r="H3571" s="73"/>
      <c r="I3571" s="74"/>
      <c r="J3571" s="156">
        <v>0</v>
      </c>
    </row>
    <row r="3572" spans="1:10" ht="15.75" hidden="1" thickBot="1" x14ac:dyDescent="0.3">
      <c r="A3572" s="222"/>
      <c r="B3572" s="225"/>
      <c r="C3572" s="36" t="s">
        <v>768</v>
      </c>
      <c r="D3572" s="36" t="s">
        <v>759</v>
      </c>
      <c r="E3572" s="37">
        <v>0.1119</v>
      </c>
      <c r="F3572" s="54">
        <v>22.087499999999999</v>
      </c>
      <c r="G3572" s="54">
        <f t="shared" si="61"/>
        <v>2.4715912499999999</v>
      </c>
      <c r="H3572" s="73"/>
      <c r="I3572" s="74"/>
      <c r="J3572" s="156">
        <v>0</v>
      </c>
    </row>
    <row r="3573" spans="1:10" ht="15.75" hidden="1" thickBot="1" x14ac:dyDescent="0.3">
      <c r="A3573" s="222"/>
      <c r="B3573" s="225"/>
      <c r="C3573" s="36" t="s">
        <v>760</v>
      </c>
      <c r="D3573" s="47" t="s">
        <v>759</v>
      </c>
      <c r="E3573" s="37">
        <v>4.6600000000000003E-2</v>
      </c>
      <c r="F3573" s="54">
        <v>16.311500000000002</v>
      </c>
      <c r="G3573" s="54">
        <f t="shared" si="61"/>
        <v>0.76011590000000018</v>
      </c>
      <c r="H3573" s="73"/>
      <c r="I3573" s="74"/>
      <c r="J3573" s="156">
        <v>0</v>
      </c>
    </row>
    <row r="3574" spans="1:10" ht="26.25" hidden="1" thickBot="1" x14ac:dyDescent="0.3">
      <c r="A3574" s="222"/>
      <c r="B3574" s="225"/>
      <c r="C3574" s="36" t="s">
        <v>3421</v>
      </c>
      <c r="D3574" s="47" t="s">
        <v>1001</v>
      </c>
      <c r="E3574" s="37">
        <v>7.0000000000000001E-3</v>
      </c>
      <c r="F3574" s="54">
        <v>8.5120000000000005</v>
      </c>
      <c r="G3574" s="54">
        <f t="shared" si="61"/>
        <v>5.9584000000000005E-2</v>
      </c>
      <c r="H3574" s="73"/>
      <c r="I3574" s="74"/>
      <c r="J3574" s="156">
        <v>0</v>
      </c>
    </row>
    <row r="3575" spans="1:10" ht="39" hidden="1" thickBot="1" x14ac:dyDescent="0.3">
      <c r="A3575" s="222"/>
      <c r="B3575" s="225"/>
      <c r="C3575" s="36" t="s">
        <v>1133</v>
      </c>
      <c r="D3575" s="47" t="s">
        <v>1053</v>
      </c>
      <c r="E3575" s="37">
        <v>1.1224000000000001</v>
      </c>
      <c r="F3575" s="54">
        <v>41.153999999999996</v>
      </c>
      <c r="G3575" s="54">
        <f t="shared" si="61"/>
        <v>46.191249599999999</v>
      </c>
      <c r="H3575" s="73"/>
      <c r="I3575" s="74"/>
      <c r="J3575" s="156">
        <v>0</v>
      </c>
    </row>
    <row r="3576" spans="1:10" ht="26.25" hidden="1" thickBot="1" x14ac:dyDescent="0.3">
      <c r="A3576" s="222"/>
      <c r="B3576" s="225"/>
      <c r="C3576" s="36" t="s">
        <v>1124</v>
      </c>
      <c r="D3576" s="47" t="s">
        <v>1135</v>
      </c>
      <c r="E3576" s="37">
        <v>0.1</v>
      </c>
      <c r="F3576" s="54">
        <v>28.015499999999996</v>
      </c>
      <c r="G3576" s="54">
        <f t="shared" si="61"/>
        <v>2.8015499999999998</v>
      </c>
      <c r="H3576" s="73"/>
      <c r="I3576" s="74"/>
      <c r="J3576" s="156">
        <v>0</v>
      </c>
    </row>
    <row r="3577" spans="1:10" ht="15.75" hidden="1" thickBot="1" x14ac:dyDescent="0.3">
      <c r="A3577" s="223"/>
      <c r="B3577" s="226"/>
      <c r="C3577" s="36"/>
      <c r="D3577" s="36"/>
      <c r="E3577" s="37"/>
      <c r="F3577" s="54" t="s">
        <v>572</v>
      </c>
      <c r="G3577" s="54" t="str">
        <f t="shared" si="61"/>
        <v/>
      </c>
      <c r="H3577" s="73"/>
      <c r="I3577" s="74"/>
      <c r="J3577" s="156">
        <v>0</v>
      </c>
    </row>
    <row r="3578" spans="1:10" ht="15.75" hidden="1" thickBot="1" x14ac:dyDescent="0.3">
      <c r="A3578" s="221" t="s">
        <v>1136</v>
      </c>
      <c r="B3578" s="224" t="str">
        <f>INDEX(Orçamentária!A:B,MATCH(Composições!A3578,Orçamentária!A:A,0),2)</f>
        <v>Remoção de reservatório d’água</v>
      </c>
      <c r="C3578" s="41"/>
      <c r="D3578" s="26" t="str">
        <f>TRIM(INDEX(Orçamentária!C:C,MATCH(Composições!A3578,Orçamentária!A:A,0),1))</f>
        <v>un</v>
      </c>
      <c r="E3578" s="27"/>
      <c r="F3578" s="49" t="s">
        <v>572</v>
      </c>
      <c r="G3578" s="28" t="str">
        <f t="shared" si="61"/>
        <v/>
      </c>
      <c r="H3578" s="29"/>
      <c r="I3578" s="30"/>
      <c r="J3578" s="156">
        <v>0</v>
      </c>
    </row>
    <row r="3579" spans="1:10" ht="15.75" hidden="1" thickBot="1" x14ac:dyDescent="0.3">
      <c r="A3579" s="227"/>
      <c r="B3579" s="225"/>
      <c r="C3579" s="32"/>
      <c r="D3579" s="32"/>
      <c r="E3579" s="33"/>
      <c r="F3579" s="54" t="s">
        <v>572</v>
      </c>
      <c r="G3579" s="54" t="str">
        <f t="shared" si="61"/>
        <v/>
      </c>
      <c r="H3579" s="73"/>
      <c r="I3579" s="74"/>
      <c r="J3579" s="156">
        <v>0</v>
      </c>
    </row>
    <row r="3580" spans="1:10" ht="15.75" hidden="1" thickBot="1" x14ac:dyDescent="0.3">
      <c r="A3580" s="227"/>
      <c r="B3580" s="225"/>
      <c r="C3580" s="36" t="s">
        <v>39</v>
      </c>
      <c r="D3580" s="50" t="s">
        <v>12</v>
      </c>
      <c r="E3580" s="37">
        <v>4</v>
      </c>
      <c r="F3580" s="54">
        <v>21.622</v>
      </c>
      <c r="G3580" s="54">
        <f t="shared" si="61"/>
        <v>86.488</v>
      </c>
      <c r="H3580" s="39">
        <f>SUM(G3580:G3581)</f>
        <v>151.73400000000001</v>
      </c>
      <c r="I3580" s="40"/>
      <c r="J3580" s="156">
        <v>0</v>
      </c>
    </row>
    <row r="3581" spans="1:10" ht="15.75" hidden="1" thickBot="1" x14ac:dyDescent="0.3">
      <c r="A3581" s="227"/>
      <c r="B3581" s="225"/>
      <c r="C3581" s="36" t="s">
        <v>23</v>
      </c>
      <c r="D3581" s="36" t="s">
        <v>12</v>
      </c>
      <c r="E3581" s="37">
        <v>4</v>
      </c>
      <c r="F3581" s="54">
        <v>16.311500000000002</v>
      </c>
      <c r="G3581" s="54">
        <f t="shared" si="61"/>
        <v>65.246000000000009</v>
      </c>
      <c r="H3581" s="73"/>
      <c r="I3581" s="74"/>
      <c r="J3581" s="156">
        <v>0</v>
      </c>
    </row>
    <row r="3582" spans="1:10" ht="15.75" hidden="1" thickBot="1" x14ac:dyDescent="0.3">
      <c r="A3582" s="228"/>
      <c r="B3582" s="226"/>
      <c r="C3582" s="36"/>
      <c r="D3582" s="36"/>
      <c r="E3582" s="37"/>
      <c r="F3582" s="54" t="s">
        <v>572</v>
      </c>
      <c r="G3582" s="54" t="str">
        <f t="shared" si="61"/>
        <v/>
      </c>
      <c r="H3582" s="73"/>
      <c r="I3582" s="74"/>
      <c r="J3582" s="156">
        <v>0</v>
      </c>
    </row>
    <row r="3583" spans="1:10" ht="15.75" hidden="1" thickBot="1" x14ac:dyDescent="0.3">
      <c r="A3583" s="221" t="s">
        <v>1137</v>
      </c>
      <c r="B3583" s="224" t="str">
        <f>INDEX(Orçamentária!A:B,MATCH(Composições!A3583,Orçamentária!A:A,0),2)</f>
        <v>Transporte e destinação final de entulho para distâncias até 30 km</v>
      </c>
      <c r="C3583" s="41"/>
      <c r="D3583" s="26" t="str">
        <f>TRIM(INDEX(Orçamentária!C:C,MATCH(Composições!A3583,Orçamentária!A:A,0),1))</f>
        <v>m3 x km</v>
      </c>
      <c r="E3583" s="27"/>
      <c r="F3583" s="49" t="s">
        <v>572</v>
      </c>
      <c r="G3583" s="28" t="str">
        <f t="shared" si="61"/>
        <v/>
      </c>
      <c r="H3583" s="29"/>
      <c r="I3583" s="30"/>
      <c r="J3583" s="156">
        <v>0</v>
      </c>
    </row>
    <row r="3584" spans="1:10" ht="15.75" hidden="1" thickBot="1" x14ac:dyDescent="0.3">
      <c r="A3584" s="227"/>
      <c r="B3584" s="225"/>
      <c r="C3584" s="32"/>
      <c r="D3584" s="32"/>
      <c r="E3584" s="33"/>
      <c r="F3584" s="54" t="s">
        <v>572</v>
      </c>
      <c r="G3584" s="54" t="str">
        <f t="shared" si="61"/>
        <v/>
      </c>
      <c r="H3584" s="73"/>
      <c r="I3584" s="74"/>
      <c r="J3584" s="156">
        <v>0</v>
      </c>
    </row>
    <row r="3585" spans="1:10" ht="51.75" hidden="1" thickBot="1" x14ac:dyDescent="0.3">
      <c r="A3585" s="227"/>
      <c r="B3585" s="225"/>
      <c r="C3585" s="36" t="s">
        <v>1138</v>
      </c>
      <c r="D3585" s="36" t="s">
        <v>1001</v>
      </c>
      <c r="E3585" s="37">
        <v>1.3899999999999999E-2</v>
      </c>
      <c r="F3585" s="54">
        <v>117.43899999999999</v>
      </c>
      <c r="G3585" s="54">
        <f t="shared" si="61"/>
        <v>1.6324020999999997</v>
      </c>
      <c r="H3585" s="39">
        <f>SUM(G3585:G3586)</f>
        <v>1.8443850999999998</v>
      </c>
      <c r="I3585" s="40"/>
      <c r="J3585" s="156">
        <v>0</v>
      </c>
    </row>
    <row r="3586" spans="1:10" ht="51.75" hidden="1" thickBot="1" x14ac:dyDescent="0.3">
      <c r="A3586" s="227"/>
      <c r="B3586" s="225"/>
      <c r="C3586" s="36" t="s">
        <v>1139</v>
      </c>
      <c r="D3586" s="36" t="s">
        <v>1003</v>
      </c>
      <c r="E3586" s="37">
        <v>6.0000000000000001E-3</v>
      </c>
      <c r="F3586" s="54">
        <v>35.330499999999994</v>
      </c>
      <c r="G3586" s="54">
        <f t="shared" si="61"/>
        <v>0.21198299999999998</v>
      </c>
      <c r="H3586" s="73"/>
      <c r="I3586" s="74"/>
      <c r="J3586" s="156">
        <v>0</v>
      </c>
    </row>
    <row r="3587" spans="1:10" ht="15.75" hidden="1" thickBot="1" x14ac:dyDescent="0.3">
      <c r="A3587" s="228"/>
      <c r="B3587" s="226"/>
      <c r="C3587" s="36"/>
      <c r="D3587" s="36"/>
      <c r="E3587" s="37"/>
      <c r="F3587" s="54" t="s">
        <v>572</v>
      </c>
      <c r="G3587" s="54" t="str">
        <f t="shared" si="61"/>
        <v/>
      </c>
      <c r="H3587" s="73"/>
      <c r="I3587" s="74"/>
      <c r="J3587" s="156">
        <v>0</v>
      </c>
    </row>
    <row r="3588" spans="1:10" ht="15.75" hidden="1" thickBot="1" x14ac:dyDescent="0.3">
      <c r="A3588" s="221" t="s">
        <v>1140</v>
      </c>
      <c r="B3588" s="224" t="str">
        <f>INDEX(Orçamentária!A:B,MATCH(Composições!A3588,Orçamentária!A:A,0),2)</f>
        <v>Demolição de estrutura metálica</v>
      </c>
      <c r="C3588" s="41"/>
      <c r="D3588" s="26" t="str">
        <f>TRIM(INDEX(Orçamentária!C:C,MATCH(Composições!A3588,Orçamentária!A:A,0),1))</f>
        <v>kg</v>
      </c>
      <c r="E3588" s="27"/>
      <c r="F3588" s="49" t="s">
        <v>572</v>
      </c>
      <c r="G3588" s="28" t="str">
        <f t="shared" si="61"/>
        <v/>
      </c>
      <c r="H3588" s="29"/>
      <c r="I3588" s="30"/>
      <c r="J3588" s="156">
        <v>0</v>
      </c>
    </row>
    <row r="3589" spans="1:10" ht="15.75" hidden="1" thickBot="1" x14ac:dyDescent="0.3">
      <c r="A3589" s="227"/>
      <c r="B3589" s="225"/>
      <c r="C3589" s="32"/>
      <c r="D3589" s="32"/>
      <c r="E3589" s="33"/>
      <c r="F3589" s="54" t="s">
        <v>572</v>
      </c>
      <c r="G3589" s="54" t="str">
        <f t="shared" si="61"/>
        <v/>
      </c>
      <c r="H3589" s="73"/>
      <c r="I3589" s="74"/>
      <c r="J3589" s="156">
        <v>0</v>
      </c>
    </row>
    <row r="3590" spans="1:10" ht="26.25" hidden="1" thickBot="1" x14ac:dyDescent="0.3">
      <c r="A3590" s="227"/>
      <c r="B3590" s="225"/>
      <c r="C3590" s="36" t="s">
        <v>138</v>
      </c>
      <c r="D3590" s="36" t="s">
        <v>112</v>
      </c>
      <c r="E3590" s="37">
        <v>2.1999999999999999E-2</v>
      </c>
      <c r="F3590" s="54">
        <v>9.2530000000000001</v>
      </c>
      <c r="G3590" s="54">
        <f t="shared" si="61"/>
        <v>0.203566</v>
      </c>
      <c r="H3590" s="39">
        <f>SUM(G3590:G3594)</f>
        <v>2.8846179999999997</v>
      </c>
      <c r="I3590" s="40"/>
      <c r="J3590" s="156">
        <v>0</v>
      </c>
    </row>
    <row r="3591" spans="1:10" ht="26.25" hidden="1" thickBot="1" x14ac:dyDescent="0.3">
      <c r="A3591" s="227"/>
      <c r="B3591" s="225"/>
      <c r="C3591" s="36" t="s">
        <v>134</v>
      </c>
      <c r="D3591" s="36" t="s">
        <v>42</v>
      </c>
      <c r="E3591" s="37">
        <v>5.0000000000000001E-3</v>
      </c>
      <c r="F3591" s="54">
        <v>42.217999999999996</v>
      </c>
      <c r="G3591" s="54">
        <f t="shared" si="61"/>
        <v>0.21109</v>
      </c>
      <c r="H3591" s="73"/>
      <c r="I3591" s="74"/>
      <c r="J3591" s="156">
        <v>0</v>
      </c>
    </row>
    <row r="3592" spans="1:10" ht="26.25" hidden="1" thickBot="1" x14ac:dyDescent="0.3">
      <c r="A3592" s="227"/>
      <c r="B3592" s="225"/>
      <c r="C3592" s="36" t="s">
        <v>1141</v>
      </c>
      <c r="D3592" s="36" t="s">
        <v>1001</v>
      </c>
      <c r="E3592" s="37">
        <f>E3593</f>
        <v>4.3999999999999997E-2</v>
      </c>
      <c r="F3592" s="54">
        <v>17.223499999999998</v>
      </c>
      <c r="G3592" s="54">
        <f t="shared" si="61"/>
        <v>0.7578339999999999</v>
      </c>
      <c r="H3592" s="73"/>
      <c r="I3592" s="74"/>
      <c r="J3592" s="156">
        <v>0</v>
      </c>
    </row>
    <row r="3593" spans="1:10" ht="15.75" hidden="1" thickBot="1" x14ac:dyDescent="0.3">
      <c r="A3593" s="227"/>
      <c r="B3593" s="225"/>
      <c r="C3593" s="36" t="s">
        <v>1142</v>
      </c>
      <c r="D3593" s="36" t="s">
        <v>12</v>
      </c>
      <c r="E3593" s="37">
        <v>4.3999999999999997E-2</v>
      </c>
      <c r="F3593" s="54">
        <v>22.600499999999997</v>
      </c>
      <c r="G3593" s="54">
        <f t="shared" si="61"/>
        <v>0.99442199999999981</v>
      </c>
      <c r="H3593" s="73"/>
      <c r="I3593" s="74"/>
      <c r="J3593" s="156">
        <v>0</v>
      </c>
    </row>
    <row r="3594" spans="1:10" ht="15.75" hidden="1" thickBot="1" x14ac:dyDescent="0.3">
      <c r="A3594" s="227"/>
      <c r="B3594" s="225"/>
      <c r="C3594" s="36" t="s">
        <v>23</v>
      </c>
      <c r="D3594" s="36" t="s">
        <v>12</v>
      </c>
      <c r="E3594" s="37">
        <v>4.3999999999999997E-2</v>
      </c>
      <c r="F3594" s="54">
        <v>16.311500000000002</v>
      </c>
      <c r="G3594" s="54">
        <f t="shared" si="61"/>
        <v>0.71770600000000007</v>
      </c>
      <c r="H3594" s="73"/>
      <c r="I3594" s="74"/>
      <c r="J3594" s="156">
        <v>0</v>
      </c>
    </row>
    <row r="3595" spans="1:10" ht="15.75" hidden="1" thickBot="1" x14ac:dyDescent="0.3">
      <c r="A3595" s="228"/>
      <c r="B3595" s="226"/>
      <c r="C3595" s="36"/>
      <c r="D3595" s="36"/>
      <c r="E3595" s="37"/>
      <c r="F3595" s="54" t="s">
        <v>572</v>
      </c>
      <c r="G3595" s="54" t="str">
        <f t="shared" si="61"/>
        <v/>
      </c>
      <c r="H3595" s="73"/>
      <c r="I3595" s="74"/>
      <c r="J3595" s="156">
        <v>0</v>
      </c>
    </row>
    <row r="3596" spans="1:10" ht="15.75" hidden="1" thickBot="1" x14ac:dyDescent="0.3">
      <c r="A3596" s="221" t="s">
        <v>1143</v>
      </c>
      <c r="B3596" s="224" t="str">
        <f>INDEX(Orçamentária!A:B,MATCH(Composições!A3596,Orçamentária!A:A,0),2)</f>
        <v>Escavação manual com profundidade maior do que 1,30 m</v>
      </c>
      <c r="C3596" s="41"/>
      <c r="D3596" s="26" t="str">
        <f>TRIM(INDEX(Orçamentária!C:C,MATCH(Composições!A3596,Orçamentária!A:A,0),1))</f>
        <v>m3</v>
      </c>
      <c r="E3596" s="27"/>
      <c r="F3596" s="49" t="s">
        <v>572</v>
      </c>
      <c r="G3596" s="28" t="str">
        <f t="shared" si="61"/>
        <v/>
      </c>
      <c r="H3596" s="29"/>
      <c r="I3596" s="30"/>
      <c r="J3596" s="156">
        <v>0</v>
      </c>
    </row>
    <row r="3597" spans="1:10" ht="15.75" hidden="1" thickBot="1" x14ac:dyDescent="0.3">
      <c r="A3597" s="227"/>
      <c r="B3597" s="225"/>
      <c r="C3597" s="32"/>
      <c r="D3597" s="32"/>
      <c r="E3597" s="33"/>
      <c r="F3597" s="54" t="s">
        <v>572</v>
      </c>
      <c r="G3597" s="54" t="str">
        <f t="shared" si="61"/>
        <v/>
      </c>
      <c r="H3597" s="73"/>
      <c r="I3597" s="74"/>
      <c r="J3597" s="156">
        <v>0</v>
      </c>
    </row>
    <row r="3598" spans="1:10" ht="15.75" hidden="1" thickBot="1" x14ac:dyDescent="0.3">
      <c r="A3598" s="227"/>
      <c r="B3598" s="225"/>
      <c r="C3598" s="36" t="s">
        <v>23</v>
      </c>
      <c r="D3598" s="36" t="s">
        <v>12</v>
      </c>
      <c r="E3598" s="37">
        <v>4.3</v>
      </c>
      <c r="F3598" s="54">
        <v>16.311500000000002</v>
      </c>
      <c r="G3598" s="54">
        <f t="shared" si="61"/>
        <v>70.139450000000011</v>
      </c>
      <c r="H3598" s="39">
        <f>SUM(G3598:G3598)</f>
        <v>70.139450000000011</v>
      </c>
      <c r="I3598" s="40"/>
      <c r="J3598" s="156">
        <v>0</v>
      </c>
    </row>
    <row r="3599" spans="1:10" ht="15.75" hidden="1" thickBot="1" x14ac:dyDescent="0.3">
      <c r="A3599" s="228"/>
      <c r="B3599" s="226"/>
      <c r="C3599" s="36"/>
      <c r="D3599" s="36"/>
      <c r="E3599" s="37"/>
      <c r="F3599" s="54" t="s">
        <v>572</v>
      </c>
      <c r="G3599" s="54" t="str">
        <f t="shared" si="61"/>
        <v/>
      </c>
      <c r="H3599" s="73"/>
      <c r="I3599" s="74"/>
      <c r="J3599" s="156">
        <v>0</v>
      </c>
    </row>
    <row r="3600" spans="1:10" ht="15.75" hidden="1" thickBot="1" x14ac:dyDescent="0.3">
      <c r="A3600" s="221" t="s">
        <v>1144</v>
      </c>
      <c r="B3600" s="224" t="str">
        <f>INDEX(Orçamentária!A:B,MATCH(Composições!A3600,Orçamentária!A:A,0),2)</f>
        <v>Escavação mecânica com profundidade maior do que 1,30 m</v>
      </c>
      <c r="C3600" s="41"/>
      <c r="D3600" s="26" t="str">
        <f>TRIM(INDEX(Orçamentária!C:C,MATCH(Composições!A3600,Orçamentária!A:A,0),1))</f>
        <v>m3</v>
      </c>
      <c r="E3600" s="27"/>
      <c r="F3600" s="49" t="s">
        <v>572</v>
      </c>
      <c r="G3600" s="28" t="str">
        <f t="shared" si="61"/>
        <v/>
      </c>
      <c r="H3600" s="29"/>
      <c r="I3600" s="30"/>
      <c r="J3600" s="156">
        <v>0</v>
      </c>
    </row>
    <row r="3601" spans="1:10" ht="15.75" hidden="1" thickBot="1" x14ac:dyDescent="0.3">
      <c r="A3601" s="227"/>
      <c r="B3601" s="225"/>
      <c r="C3601" s="32"/>
      <c r="D3601" s="32"/>
      <c r="E3601" s="33"/>
      <c r="F3601" s="54" t="s">
        <v>572</v>
      </c>
      <c r="G3601" s="54" t="str">
        <f t="shared" si="61"/>
        <v/>
      </c>
      <c r="H3601" s="73"/>
      <c r="I3601" s="74"/>
      <c r="J3601" s="156">
        <v>0</v>
      </c>
    </row>
    <row r="3602" spans="1:10" ht="64.5" hidden="1" thickBot="1" x14ac:dyDescent="0.3">
      <c r="A3602" s="227"/>
      <c r="B3602" s="225"/>
      <c r="C3602" s="36" t="s">
        <v>3418</v>
      </c>
      <c r="D3602" s="36" t="s">
        <v>1001</v>
      </c>
      <c r="E3602" s="37">
        <v>2.7099999999999999E-2</v>
      </c>
      <c r="F3602" s="54">
        <v>95.598499999999987</v>
      </c>
      <c r="G3602" s="54">
        <f t="shared" ref="G3602:G3665" si="62">IF(ISNUMBER(F3602),E3602*F3602,"")</f>
        <v>2.5907193499999996</v>
      </c>
      <c r="H3602" s="39">
        <f>SUM(G3602:G3604)</f>
        <v>4.8571790000000004</v>
      </c>
      <c r="I3602" s="40"/>
      <c r="J3602" s="156">
        <v>0</v>
      </c>
    </row>
    <row r="3603" spans="1:10" ht="64.5" hidden="1" thickBot="1" x14ac:dyDescent="0.3">
      <c r="A3603" s="227"/>
      <c r="B3603" s="225"/>
      <c r="C3603" s="36" t="s">
        <v>3423</v>
      </c>
      <c r="D3603" s="36" t="s">
        <v>1003</v>
      </c>
      <c r="E3603" s="37">
        <v>3.2800000000000003E-2</v>
      </c>
      <c r="F3603" s="54">
        <v>39.311</v>
      </c>
      <c r="G3603" s="54">
        <f t="shared" si="62"/>
        <v>1.2894008000000001</v>
      </c>
      <c r="H3603" s="73"/>
      <c r="I3603" s="74"/>
      <c r="J3603" s="156">
        <v>0</v>
      </c>
    </row>
    <row r="3604" spans="1:10" ht="15.75" hidden="1" thickBot="1" x14ac:dyDescent="0.3">
      <c r="A3604" s="227"/>
      <c r="B3604" s="225"/>
      <c r="C3604" s="36" t="s">
        <v>760</v>
      </c>
      <c r="D3604" s="36" t="s">
        <v>759</v>
      </c>
      <c r="E3604" s="37">
        <v>5.9900000000000002E-2</v>
      </c>
      <c r="F3604" s="54">
        <v>16.311500000000002</v>
      </c>
      <c r="G3604" s="54">
        <f t="shared" si="62"/>
        <v>0.97705885000000015</v>
      </c>
      <c r="H3604" s="73"/>
      <c r="I3604" s="74"/>
      <c r="J3604" s="156">
        <v>0</v>
      </c>
    </row>
    <row r="3605" spans="1:10" ht="15.75" hidden="1" thickBot="1" x14ac:dyDescent="0.3">
      <c r="A3605" s="228"/>
      <c r="B3605" s="226"/>
      <c r="C3605" s="75"/>
      <c r="D3605" s="36"/>
      <c r="E3605" s="37"/>
      <c r="F3605" s="54" t="s">
        <v>572</v>
      </c>
      <c r="G3605" s="54" t="str">
        <f t="shared" si="62"/>
        <v/>
      </c>
      <c r="H3605" s="73"/>
      <c r="I3605" s="74"/>
      <c r="J3605" s="156">
        <v>0</v>
      </c>
    </row>
    <row r="3606" spans="1:10" ht="15.75" hidden="1" thickBot="1" x14ac:dyDescent="0.3">
      <c r="A3606" s="221" t="s">
        <v>1145</v>
      </c>
      <c r="B3606" s="224" t="str">
        <f>INDEX(Orçamentária!A:B,MATCH(Composições!A3606,Orçamentária!A:A,0),2)</f>
        <v>Grama Batatais em placas de 40 x 40 cm</v>
      </c>
      <c r="C3606" s="41"/>
      <c r="D3606" s="26" t="str">
        <f>TRIM(INDEX(Orçamentária!C:C,MATCH(Composições!A3606,Orçamentária!A:A,0),1))</f>
        <v>m2</v>
      </c>
      <c r="E3606" s="27"/>
      <c r="F3606" s="49" t="s">
        <v>572</v>
      </c>
      <c r="G3606" s="28" t="str">
        <f t="shared" si="62"/>
        <v/>
      </c>
      <c r="H3606" s="29"/>
      <c r="I3606" s="30"/>
      <c r="J3606" s="156">
        <v>0</v>
      </c>
    </row>
    <row r="3607" spans="1:10" ht="15.75" hidden="1" thickBot="1" x14ac:dyDescent="0.3">
      <c r="A3607" s="222"/>
      <c r="B3607" s="225"/>
      <c r="C3607" s="32"/>
      <c r="D3607" s="32"/>
      <c r="E3607" s="33"/>
      <c r="F3607" s="54" t="s">
        <v>572</v>
      </c>
      <c r="G3607" s="54" t="str">
        <f t="shared" si="62"/>
        <v/>
      </c>
      <c r="H3607" s="73"/>
      <c r="I3607" s="74"/>
      <c r="J3607" s="156">
        <v>0</v>
      </c>
    </row>
    <row r="3608" spans="1:10" ht="15.75" hidden="1" thickBot="1" x14ac:dyDescent="0.3">
      <c r="A3608" s="222"/>
      <c r="B3608" s="225"/>
      <c r="C3608" s="36" t="s">
        <v>1146</v>
      </c>
      <c r="D3608" s="50" t="s">
        <v>96</v>
      </c>
      <c r="E3608" s="37">
        <v>1</v>
      </c>
      <c r="F3608" s="54">
        <v>7.3244999999999996</v>
      </c>
      <c r="G3608" s="54">
        <f t="shared" si="62"/>
        <v>7.3244999999999996</v>
      </c>
      <c r="H3608" s="39">
        <f>SUM(G3608:G3618)</f>
        <v>48.301004501273994</v>
      </c>
      <c r="I3608" s="40"/>
      <c r="J3608" s="156">
        <v>0</v>
      </c>
    </row>
    <row r="3609" spans="1:10" ht="15.75" hidden="1" thickBot="1" x14ac:dyDescent="0.3">
      <c r="A3609" s="222"/>
      <c r="B3609" s="225"/>
      <c r="C3609" s="36" t="s">
        <v>23</v>
      </c>
      <c r="D3609" s="36" t="s">
        <v>12</v>
      </c>
      <c r="E3609" s="37">
        <v>0.15640000000000001</v>
      </c>
      <c r="F3609" s="54">
        <v>16.311500000000002</v>
      </c>
      <c r="G3609" s="54">
        <f t="shared" si="62"/>
        <v>2.5511186000000006</v>
      </c>
      <c r="H3609" s="73"/>
      <c r="I3609" s="74"/>
      <c r="J3609" s="156">
        <v>0</v>
      </c>
    </row>
    <row r="3610" spans="1:10" ht="15.75" hidden="1" thickBot="1" x14ac:dyDescent="0.3">
      <c r="A3610" s="222"/>
      <c r="B3610" s="225"/>
      <c r="C3610" s="36" t="s">
        <v>1147</v>
      </c>
      <c r="D3610" s="36" t="s">
        <v>12</v>
      </c>
      <c r="E3610" s="37">
        <v>3.9100000000000003E-2</v>
      </c>
      <c r="F3610" s="54">
        <v>21.365499999999997</v>
      </c>
      <c r="G3610" s="54">
        <f t="shared" si="62"/>
        <v>0.83539104999999991</v>
      </c>
      <c r="H3610" s="73"/>
      <c r="I3610" s="74"/>
      <c r="J3610" s="156">
        <v>0</v>
      </c>
    </row>
    <row r="3611" spans="1:10" ht="15.75" hidden="1" thickBot="1" x14ac:dyDescent="0.3">
      <c r="A3611" s="222"/>
      <c r="B3611" s="225"/>
      <c r="C3611" s="36" t="s">
        <v>23</v>
      </c>
      <c r="D3611" s="36" t="s">
        <v>12</v>
      </c>
      <c r="E3611" s="37">
        <f>1.6*0.25</f>
        <v>0.4</v>
      </c>
      <c r="F3611" s="54">
        <v>16.311500000000002</v>
      </c>
      <c r="G3611" s="54">
        <f t="shared" si="62"/>
        <v>6.5246000000000013</v>
      </c>
      <c r="H3611" s="73"/>
      <c r="I3611" s="74"/>
      <c r="J3611" s="156">
        <v>0</v>
      </c>
    </row>
    <row r="3612" spans="1:10" ht="26.25" hidden="1" thickBot="1" x14ac:dyDescent="0.3">
      <c r="A3612" s="222"/>
      <c r="B3612" s="225"/>
      <c r="C3612" s="36" t="s">
        <v>1148</v>
      </c>
      <c r="D3612" s="36" t="s">
        <v>42</v>
      </c>
      <c r="E3612" s="37">
        <f>1*0.25</f>
        <v>0.25</v>
      </c>
      <c r="F3612" s="54">
        <v>0.18049999999999999</v>
      </c>
      <c r="G3612" s="54">
        <f t="shared" si="62"/>
        <v>4.5124999999999998E-2</v>
      </c>
      <c r="H3612" s="73"/>
      <c r="I3612" s="74"/>
      <c r="J3612" s="156">
        <v>0</v>
      </c>
    </row>
    <row r="3613" spans="1:10" ht="15.75" hidden="1" thickBot="1" x14ac:dyDescent="0.3">
      <c r="A3613" s="222"/>
      <c r="B3613" s="225"/>
      <c r="C3613" s="36" t="s">
        <v>1149</v>
      </c>
      <c r="D3613" s="36" t="s">
        <v>112</v>
      </c>
      <c r="E3613" s="37">
        <f>0.9*0.25</f>
        <v>0.22500000000000001</v>
      </c>
      <c r="F3613" s="54">
        <v>134.34899999999999</v>
      </c>
      <c r="G3613" s="54">
        <f t="shared" si="62"/>
        <v>30.228524999999998</v>
      </c>
      <c r="H3613" s="73"/>
      <c r="I3613" s="74"/>
      <c r="J3613" s="156">
        <v>0</v>
      </c>
    </row>
    <row r="3614" spans="1:10" ht="15.75" hidden="1" thickBot="1" x14ac:dyDescent="0.3">
      <c r="A3614" s="222"/>
      <c r="B3614" s="225"/>
      <c r="C3614" s="36" t="s">
        <v>1150</v>
      </c>
      <c r="D3614" s="47" t="s">
        <v>42</v>
      </c>
      <c r="E3614" s="37">
        <f>1*0.25</f>
        <v>0.25</v>
      </c>
      <c r="F3614" s="54">
        <v>3.0305</v>
      </c>
      <c r="G3614" s="54">
        <f t="shared" si="62"/>
        <v>0.75762499999999999</v>
      </c>
      <c r="H3614" s="73"/>
      <c r="I3614" s="74"/>
      <c r="J3614" s="156">
        <v>0</v>
      </c>
    </row>
    <row r="3615" spans="1:10" ht="15.75" hidden="1" thickBot="1" x14ac:dyDescent="0.3">
      <c r="A3615" s="222"/>
      <c r="B3615" s="225"/>
      <c r="C3615" s="36" t="s">
        <v>1151</v>
      </c>
      <c r="D3615" s="47" t="s">
        <v>42</v>
      </c>
      <c r="E3615" s="37">
        <f>0.1*0.25</f>
        <v>2.5000000000000001E-2</v>
      </c>
      <c r="F3615" s="54">
        <v>1.0734999999999999</v>
      </c>
      <c r="G3615" s="54">
        <f t="shared" si="62"/>
        <v>2.68375E-2</v>
      </c>
      <c r="H3615" s="73"/>
      <c r="I3615" s="74"/>
      <c r="J3615" s="156">
        <v>0</v>
      </c>
    </row>
    <row r="3616" spans="1:10" ht="39" hidden="1" thickBot="1" x14ac:dyDescent="0.3">
      <c r="A3616" s="222"/>
      <c r="B3616" s="225"/>
      <c r="C3616" s="36" t="s">
        <v>123</v>
      </c>
      <c r="D3616" s="36" t="s">
        <v>1152</v>
      </c>
      <c r="E3616" s="37">
        <f>ROUND(1*E3612/1000,4)</f>
        <v>2.9999999999999997E-4</v>
      </c>
      <c r="F3616" s="34">
        <v>3.7160925800000002</v>
      </c>
      <c r="G3616" s="34">
        <f t="shared" si="62"/>
        <v>1.114827774E-3</v>
      </c>
      <c r="H3616" s="35"/>
      <c r="I3616" s="31"/>
      <c r="J3616" s="156">
        <v>0</v>
      </c>
    </row>
    <row r="3617" spans="1:10" ht="39" hidden="1" thickBot="1" x14ac:dyDescent="0.3">
      <c r="A3617" s="222"/>
      <c r="B3617" s="225"/>
      <c r="C3617" s="36" t="s">
        <v>810</v>
      </c>
      <c r="D3617" s="36" t="s">
        <v>811</v>
      </c>
      <c r="E3617" s="37">
        <f>20*E3612*1/1000</f>
        <v>5.0000000000000001E-3</v>
      </c>
      <c r="F3617" s="54">
        <v>1.2335046999999999</v>
      </c>
      <c r="G3617" s="54">
        <f t="shared" si="62"/>
        <v>6.1675235E-3</v>
      </c>
      <c r="H3617" s="73"/>
      <c r="I3617" s="74"/>
      <c r="J3617" s="156">
        <v>0</v>
      </c>
    </row>
    <row r="3618" spans="1:10" ht="15.75" hidden="1" thickBot="1" x14ac:dyDescent="0.3">
      <c r="A3618" s="222"/>
      <c r="B3618" s="225"/>
      <c r="C3618" s="36"/>
      <c r="D3618" s="36"/>
      <c r="E3618" s="37"/>
      <c r="F3618" s="54" t="s">
        <v>572</v>
      </c>
      <c r="G3618" s="54" t="str">
        <f t="shared" si="62"/>
        <v/>
      </c>
      <c r="H3618" s="73"/>
      <c r="I3618" s="74"/>
      <c r="J3618" s="156">
        <v>0</v>
      </c>
    </row>
    <row r="3619" spans="1:10" ht="26.25" hidden="1" thickBot="1" x14ac:dyDescent="0.3">
      <c r="A3619" s="222"/>
      <c r="B3619" s="225"/>
      <c r="C3619" s="48" t="s">
        <v>1153</v>
      </c>
      <c r="D3619" s="36"/>
      <c r="E3619" s="37"/>
      <c r="F3619" s="54" t="s">
        <v>572</v>
      </c>
      <c r="G3619" s="54" t="str">
        <f t="shared" si="62"/>
        <v/>
      </c>
      <c r="H3619" s="73"/>
      <c r="I3619" s="74"/>
      <c r="J3619" s="156">
        <v>0</v>
      </c>
    </row>
    <row r="3620" spans="1:10" ht="15.75" hidden="1" thickBot="1" x14ac:dyDescent="0.3">
      <c r="A3620" s="223"/>
      <c r="B3620" s="226"/>
      <c r="C3620" s="36"/>
      <c r="D3620" s="36"/>
      <c r="E3620" s="37"/>
      <c r="F3620" s="54" t="s">
        <v>572</v>
      </c>
      <c r="G3620" s="54" t="str">
        <f t="shared" si="62"/>
        <v/>
      </c>
      <c r="H3620" s="73"/>
      <c r="I3620" s="74"/>
      <c r="J3620" s="156">
        <v>0</v>
      </c>
    </row>
    <row r="3621" spans="1:10" ht="15.75" hidden="1" thickBot="1" x14ac:dyDescent="0.3">
      <c r="A3621" s="221" t="s">
        <v>1154</v>
      </c>
      <c r="B3621" s="224" t="str">
        <f>INDEX(Orçamentária!A:B,MATCH(Composições!A3621,Orçamentária!A:A,0),2)</f>
        <v>Pintura de meios-fios com tinta acrílica</v>
      </c>
      <c r="C3621" s="41"/>
      <c r="D3621" s="26" t="str">
        <f>TRIM(INDEX(Orçamentária!C:C,MATCH(Composições!A3621,Orçamentária!A:A,0),1))</f>
        <v>m</v>
      </c>
      <c r="E3621" s="27"/>
      <c r="F3621" s="49" t="s">
        <v>572</v>
      </c>
      <c r="G3621" s="28" t="str">
        <f t="shared" si="62"/>
        <v/>
      </c>
      <c r="H3621" s="29"/>
      <c r="I3621" s="30"/>
      <c r="J3621" s="156">
        <v>0</v>
      </c>
    </row>
    <row r="3622" spans="1:10" ht="15.75" hidden="1" thickBot="1" x14ac:dyDescent="0.3">
      <c r="A3622" s="227"/>
      <c r="B3622" s="225"/>
      <c r="C3622" s="32"/>
      <c r="D3622" s="32"/>
      <c r="E3622" s="33"/>
      <c r="F3622" s="54" t="s">
        <v>572</v>
      </c>
      <c r="G3622" s="54" t="str">
        <f t="shared" si="62"/>
        <v/>
      </c>
      <c r="H3622" s="73"/>
      <c r="I3622" s="74"/>
      <c r="J3622" s="156">
        <v>0</v>
      </c>
    </row>
    <row r="3623" spans="1:10" ht="15.75" hidden="1" thickBot="1" x14ac:dyDescent="0.3">
      <c r="A3623" s="227"/>
      <c r="B3623" s="225"/>
      <c r="C3623" s="36" t="s">
        <v>1155</v>
      </c>
      <c r="D3623" s="50" t="s">
        <v>105</v>
      </c>
      <c r="E3623" s="37">
        <f>ROUND(0.17/2*(0.25+0.13+0.25),4)</f>
        <v>5.3600000000000002E-2</v>
      </c>
      <c r="F3623" s="54">
        <v>12.824999999999999</v>
      </c>
      <c r="G3623" s="54">
        <f t="shared" si="62"/>
        <v>0.68742000000000003</v>
      </c>
      <c r="H3623" s="39">
        <f>SUM(G3623:G3625)</f>
        <v>4.5107876249999999</v>
      </c>
      <c r="I3623" s="40"/>
      <c r="J3623" s="156">
        <v>0</v>
      </c>
    </row>
    <row r="3624" spans="1:10" ht="15.75" hidden="1" thickBot="1" x14ac:dyDescent="0.3">
      <c r="A3624" s="227"/>
      <c r="B3624" s="225"/>
      <c r="C3624" s="36" t="s">
        <v>1156</v>
      </c>
      <c r="D3624" s="36" t="s">
        <v>759</v>
      </c>
      <c r="E3624" s="37">
        <f>0.35*(0.25+0.13+0.25)/2</f>
        <v>0.11024999999999999</v>
      </c>
      <c r="F3624" s="54">
        <v>23.027999999999999</v>
      </c>
      <c r="G3624" s="54">
        <f t="shared" si="62"/>
        <v>2.5388369999999996</v>
      </c>
      <c r="H3624" s="73"/>
      <c r="I3624" s="74"/>
      <c r="J3624" s="156">
        <v>0</v>
      </c>
    </row>
    <row r="3625" spans="1:10" ht="15.75" hidden="1" thickBot="1" x14ac:dyDescent="0.3">
      <c r="A3625" s="227"/>
      <c r="B3625" s="225"/>
      <c r="C3625" s="36" t="s">
        <v>23</v>
      </c>
      <c r="D3625" s="36" t="s">
        <v>759</v>
      </c>
      <c r="E3625" s="37">
        <f>0.25*(0.25+0.13+0.25)/2</f>
        <v>7.8750000000000001E-2</v>
      </c>
      <c r="F3625" s="54">
        <v>16.311500000000002</v>
      </c>
      <c r="G3625" s="54">
        <f t="shared" si="62"/>
        <v>1.2845306250000001</v>
      </c>
      <c r="H3625" s="73"/>
      <c r="I3625" s="74"/>
      <c r="J3625" s="156">
        <v>0</v>
      </c>
    </row>
    <row r="3626" spans="1:10" ht="15.75" hidden="1" thickBot="1" x14ac:dyDescent="0.3">
      <c r="A3626" s="227"/>
      <c r="B3626" s="225"/>
      <c r="C3626" s="36"/>
      <c r="D3626" s="36"/>
      <c r="E3626" s="37"/>
      <c r="F3626" s="54" t="s">
        <v>572</v>
      </c>
      <c r="G3626" s="54" t="str">
        <f t="shared" si="62"/>
        <v/>
      </c>
      <c r="H3626" s="73"/>
      <c r="I3626" s="74"/>
      <c r="J3626" s="156">
        <v>0</v>
      </c>
    </row>
    <row r="3627" spans="1:10" ht="26.25" hidden="1" thickBot="1" x14ac:dyDescent="0.3">
      <c r="A3627" s="227"/>
      <c r="B3627" s="225"/>
      <c r="C3627" s="48" t="s">
        <v>1157</v>
      </c>
      <c r="D3627" s="36"/>
      <c r="E3627" s="37"/>
      <c r="F3627" s="54" t="s">
        <v>572</v>
      </c>
      <c r="G3627" s="54" t="str">
        <f t="shared" si="62"/>
        <v/>
      </c>
      <c r="H3627" s="73"/>
      <c r="I3627" s="74"/>
      <c r="J3627" s="156">
        <v>0</v>
      </c>
    </row>
    <row r="3628" spans="1:10" ht="15.75" hidden="1" thickBot="1" x14ac:dyDescent="0.3">
      <c r="A3628" s="228"/>
      <c r="B3628" s="226"/>
      <c r="C3628" s="36"/>
      <c r="D3628" s="36"/>
      <c r="E3628" s="37"/>
      <c r="F3628" s="54" t="s">
        <v>572</v>
      </c>
      <c r="G3628" s="54" t="str">
        <f t="shared" si="62"/>
        <v/>
      </c>
      <c r="H3628" s="73"/>
      <c r="I3628" s="74"/>
      <c r="J3628" s="156">
        <v>0</v>
      </c>
    </row>
    <row r="3629" spans="1:10" ht="15.75" hidden="1" thickBot="1" x14ac:dyDescent="0.3">
      <c r="A3629" s="221" t="s">
        <v>1158</v>
      </c>
      <c r="B3629" s="224" t="str">
        <f>INDEX(Orçamentária!A:B,MATCH(Composições!A3629,Orçamentária!A:A,0),2)</f>
        <v>Meios-fios em concreto pré-moldado</v>
      </c>
      <c r="C3629" s="41"/>
      <c r="D3629" s="26" t="str">
        <f>TRIM(INDEX(Orçamentária!C:C,MATCH(Composições!A3629,Orçamentária!A:A,0),1))</f>
        <v>m</v>
      </c>
      <c r="E3629" s="27"/>
      <c r="F3629" s="49" t="s">
        <v>572</v>
      </c>
      <c r="G3629" s="28" t="str">
        <f t="shared" si="62"/>
        <v/>
      </c>
      <c r="H3629" s="29"/>
      <c r="I3629" s="30"/>
      <c r="J3629" s="156">
        <v>0</v>
      </c>
    </row>
    <row r="3630" spans="1:10" ht="15.75" hidden="1" thickBot="1" x14ac:dyDescent="0.3">
      <c r="A3630" s="222"/>
      <c r="B3630" s="225"/>
      <c r="C3630" s="32"/>
      <c r="D3630" s="32"/>
      <c r="E3630" s="33"/>
      <c r="F3630" s="54" t="s">
        <v>572</v>
      </c>
      <c r="G3630" s="54" t="str">
        <f t="shared" si="62"/>
        <v/>
      </c>
      <c r="H3630" s="73"/>
      <c r="I3630" s="74"/>
      <c r="J3630" s="156">
        <v>0</v>
      </c>
    </row>
    <row r="3631" spans="1:10" ht="26.25" hidden="1" thickBot="1" x14ac:dyDescent="0.3">
      <c r="A3631" s="222"/>
      <c r="B3631" s="225"/>
      <c r="C3631" s="36" t="s">
        <v>809</v>
      </c>
      <c r="D3631" s="36" t="s">
        <v>112</v>
      </c>
      <c r="E3631" s="37">
        <v>7.0000000000000001E-3</v>
      </c>
      <c r="F3631" s="54">
        <v>90.25</v>
      </c>
      <c r="G3631" s="54">
        <f t="shared" si="62"/>
        <v>0.63175000000000003</v>
      </c>
      <c r="H3631" s="39">
        <f>SUM(G3631:G3639)</f>
        <v>42.276503547748</v>
      </c>
      <c r="I3631" s="40"/>
      <c r="J3631" s="156">
        <v>0</v>
      </c>
    </row>
    <row r="3632" spans="1:10" ht="26.25" hidden="1" thickBot="1" x14ac:dyDescent="0.3">
      <c r="A3632" s="222"/>
      <c r="B3632" s="225"/>
      <c r="C3632" s="36" t="s">
        <v>3787</v>
      </c>
      <c r="D3632" s="36" t="s">
        <v>94</v>
      </c>
      <c r="E3632" s="37">
        <v>1.0049999999999999</v>
      </c>
      <c r="F3632" s="54">
        <v>25.070499999999999</v>
      </c>
      <c r="G3632" s="54">
        <f t="shared" si="62"/>
        <v>25.195852499999997</v>
      </c>
      <c r="H3632" s="73"/>
      <c r="I3632" s="74"/>
      <c r="J3632" s="156">
        <v>0</v>
      </c>
    </row>
    <row r="3633" spans="1:10" ht="15.75" hidden="1" thickBot="1" x14ac:dyDescent="0.3">
      <c r="A3633" s="222"/>
      <c r="B3633" s="225"/>
      <c r="C3633" s="36" t="s">
        <v>22</v>
      </c>
      <c r="D3633" s="36" t="s">
        <v>12</v>
      </c>
      <c r="E3633" s="37">
        <v>0.39400000000000002</v>
      </c>
      <c r="F3633" s="54">
        <v>22.087499999999999</v>
      </c>
      <c r="G3633" s="54">
        <f t="shared" si="62"/>
        <v>8.7024749999999997</v>
      </c>
      <c r="H3633" s="73"/>
      <c r="I3633" s="74"/>
      <c r="J3633" s="156">
        <v>0</v>
      </c>
    </row>
    <row r="3634" spans="1:10" ht="15.75" hidden="1" thickBot="1" x14ac:dyDescent="0.3">
      <c r="A3634" s="222"/>
      <c r="B3634" s="225"/>
      <c r="C3634" s="36" t="s">
        <v>23</v>
      </c>
      <c r="D3634" s="36" t="s">
        <v>12</v>
      </c>
      <c r="E3634" s="37">
        <v>0.39400000000000002</v>
      </c>
      <c r="F3634" s="54">
        <v>16.311500000000002</v>
      </c>
      <c r="G3634" s="54">
        <f t="shared" si="62"/>
        <v>6.4267310000000011</v>
      </c>
      <c r="H3634" s="73"/>
      <c r="I3634" s="74"/>
      <c r="J3634" s="156">
        <v>0</v>
      </c>
    </row>
    <row r="3635" spans="1:10" ht="26.25" hidden="1" thickBot="1" x14ac:dyDescent="0.3">
      <c r="A3635" s="222"/>
      <c r="B3635" s="225"/>
      <c r="C3635" s="36" t="s">
        <v>111</v>
      </c>
      <c r="D3635" s="36" t="s">
        <v>112</v>
      </c>
      <c r="E3635" s="37">
        <v>2E-3</v>
      </c>
      <c r="F3635" s="54">
        <v>511.25031794899996</v>
      </c>
      <c r="G3635" s="54">
        <f t="shared" si="62"/>
        <v>1.022500635898</v>
      </c>
      <c r="H3635" s="73"/>
      <c r="I3635" s="74"/>
      <c r="J3635" s="156">
        <v>0</v>
      </c>
    </row>
    <row r="3636" spans="1:10" ht="51.75" hidden="1" thickBot="1" x14ac:dyDescent="0.3">
      <c r="A3636" s="222"/>
      <c r="B3636" s="225"/>
      <c r="C3636" s="36" t="s">
        <v>3619</v>
      </c>
      <c r="D3636" s="36" t="s">
        <v>112</v>
      </c>
      <c r="E3636" s="37">
        <f>1*E3631</f>
        <v>7.0000000000000001E-3</v>
      </c>
      <c r="F3636" s="34">
        <v>5.5686425499999999</v>
      </c>
      <c r="G3636" s="34">
        <f t="shared" si="62"/>
        <v>3.8980497849999997E-2</v>
      </c>
      <c r="H3636" s="35"/>
      <c r="I3636" s="31"/>
      <c r="J3636" s="156">
        <v>0</v>
      </c>
    </row>
    <row r="3637" spans="1:10" ht="39" hidden="1" thickBot="1" x14ac:dyDescent="0.3">
      <c r="A3637" s="222"/>
      <c r="B3637" s="225"/>
      <c r="C3637" s="36" t="s">
        <v>125</v>
      </c>
      <c r="D3637" s="36" t="s">
        <v>126</v>
      </c>
      <c r="E3637" s="37">
        <f>0.007*20</f>
        <v>0.14000000000000001</v>
      </c>
      <c r="F3637" s="54">
        <v>1.8443850999999998</v>
      </c>
      <c r="G3637" s="54">
        <f t="shared" si="62"/>
        <v>0.25821391399999999</v>
      </c>
      <c r="H3637" s="73"/>
      <c r="I3637" s="74"/>
      <c r="J3637" s="156">
        <v>0</v>
      </c>
    </row>
    <row r="3638" spans="1:10" ht="15.75" hidden="1" thickBot="1" x14ac:dyDescent="0.3">
      <c r="A3638" s="222"/>
      <c r="B3638" s="225"/>
      <c r="C3638" s="36"/>
      <c r="D3638" s="36"/>
      <c r="E3638" s="37"/>
      <c r="F3638" s="54" t="s">
        <v>572</v>
      </c>
      <c r="G3638" s="54" t="str">
        <f t="shared" si="62"/>
        <v/>
      </c>
      <c r="H3638" s="73"/>
      <c r="I3638" s="74"/>
      <c r="J3638" s="156">
        <v>0</v>
      </c>
    </row>
    <row r="3639" spans="1:10" ht="15.75" hidden="1" thickBot="1" x14ac:dyDescent="0.3">
      <c r="A3639" s="222"/>
      <c r="B3639" s="225"/>
      <c r="C3639" s="48" t="s">
        <v>1159</v>
      </c>
      <c r="D3639" s="36"/>
      <c r="E3639" s="37"/>
      <c r="F3639" s="54" t="s">
        <v>572</v>
      </c>
      <c r="G3639" s="54" t="str">
        <f t="shared" si="62"/>
        <v/>
      </c>
      <c r="H3639" s="73"/>
      <c r="I3639" s="74"/>
      <c r="J3639" s="156">
        <v>0</v>
      </c>
    </row>
    <row r="3640" spans="1:10" ht="15.75" hidden="1" thickBot="1" x14ac:dyDescent="0.3">
      <c r="A3640" s="223"/>
      <c r="B3640" s="226"/>
      <c r="C3640" s="36"/>
      <c r="D3640" s="36"/>
      <c r="E3640" s="37"/>
      <c r="F3640" s="54" t="s">
        <v>572</v>
      </c>
      <c r="G3640" s="54" t="str">
        <f t="shared" si="62"/>
        <v/>
      </c>
      <c r="H3640" s="73"/>
      <c r="I3640" s="74"/>
      <c r="J3640" s="156">
        <v>0</v>
      </c>
    </row>
    <row r="3641" spans="1:10" ht="15.75" hidden="1" thickBot="1" x14ac:dyDescent="0.3">
      <c r="A3641" s="221" t="s">
        <v>1160</v>
      </c>
      <c r="B3641" s="224" t="str">
        <f>INDEX(Orçamentária!A:B,MATCH(Composições!A3641,Orçamentária!A:A,0),2)</f>
        <v>Tubo PEAD corrugado para drenagem – Diâmetro 100 mm</v>
      </c>
      <c r="C3641" s="41"/>
      <c r="D3641" s="26" t="str">
        <f>TRIM(INDEX(Orçamentária!C:C,MATCH(Composições!A3641,Orçamentária!A:A,0),1))</f>
        <v>m</v>
      </c>
      <c r="E3641" s="27"/>
      <c r="F3641" s="49" t="s">
        <v>572</v>
      </c>
      <c r="G3641" s="28" t="str">
        <f t="shared" si="62"/>
        <v/>
      </c>
      <c r="H3641" s="29"/>
      <c r="I3641" s="30"/>
      <c r="J3641" s="156">
        <v>0</v>
      </c>
    </row>
    <row r="3642" spans="1:10" ht="15.75" hidden="1" thickBot="1" x14ac:dyDescent="0.3">
      <c r="A3642" s="222"/>
      <c r="B3642" s="225"/>
      <c r="C3642" s="32"/>
      <c r="D3642" s="32"/>
      <c r="E3642" s="33"/>
      <c r="F3642" s="54" t="s">
        <v>572</v>
      </c>
      <c r="G3642" s="54" t="str">
        <f t="shared" si="62"/>
        <v/>
      </c>
      <c r="H3642" s="73"/>
      <c r="I3642" s="74"/>
      <c r="J3642" s="156">
        <v>0</v>
      </c>
    </row>
    <row r="3643" spans="1:10" ht="26.25" hidden="1" thickBot="1" x14ac:dyDescent="0.3">
      <c r="A3643" s="222"/>
      <c r="B3643" s="225"/>
      <c r="C3643" s="36" t="s">
        <v>1161</v>
      </c>
      <c r="D3643" s="36" t="s">
        <v>124</v>
      </c>
      <c r="E3643" s="37">
        <v>8.2100000000000006E-2</v>
      </c>
      <c r="F3643" s="54">
        <v>118.256</v>
      </c>
      <c r="G3643" s="54">
        <f t="shared" si="62"/>
        <v>9.7088176000000015</v>
      </c>
      <c r="H3643" s="39">
        <f>SUM(G3643:G3653)</f>
        <v>35.927391637555004</v>
      </c>
      <c r="I3643" s="40"/>
      <c r="J3643" s="156">
        <v>0</v>
      </c>
    </row>
    <row r="3644" spans="1:10" ht="51.75" hidden="1" thickBot="1" x14ac:dyDescent="0.3">
      <c r="A3644" s="222"/>
      <c r="B3644" s="225"/>
      <c r="C3644" s="36" t="s">
        <v>1162</v>
      </c>
      <c r="D3644" s="36" t="s">
        <v>1001</v>
      </c>
      <c r="E3644" s="37">
        <v>3.2000000000000002E-3</v>
      </c>
      <c r="F3644" s="54">
        <v>132.98099999999999</v>
      </c>
      <c r="G3644" s="54">
        <f t="shared" si="62"/>
        <v>0.42553920000000001</v>
      </c>
      <c r="H3644" s="73"/>
      <c r="I3644" s="74"/>
      <c r="J3644" s="156">
        <v>0</v>
      </c>
    </row>
    <row r="3645" spans="1:10" ht="39" hidden="1" thickBot="1" x14ac:dyDescent="0.3">
      <c r="A3645" s="222"/>
      <c r="B3645" s="225"/>
      <c r="C3645" s="36" t="s">
        <v>1163</v>
      </c>
      <c r="D3645" s="36" t="s">
        <v>527</v>
      </c>
      <c r="E3645" s="37">
        <v>1</v>
      </c>
      <c r="F3645" s="54">
        <v>8.8254999999999981</v>
      </c>
      <c r="G3645" s="54">
        <f t="shared" si="62"/>
        <v>8.8254999999999981</v>
      </c>
      <c r="H3645" s="73"/>
      <c r="I3645" s="74"/>
      <c r="J3645" s="156">
        <v>0</v>
      </c>
    </row>
    <row r="3646" spans="1:10" ht="26.25" hidden="1" thickBot="1" x14ac:dyDescent="0.3">
      <c r="A3646" s="222"/>
      <c r="B3646" s="225"/>
      <c r="C3646" s="36" t="s">
        <v>1013</v>
      </c>
      <c r="D3646" s="36" t="s">
        <v>759</v>
      </c>
      <c r="E3646" s="37">
        <v>1.7500000000000002E-2</v>
      </c>
      <c r="F3646" s="54">
        <v>21.622</v>
      </c>
      <c r="G3646" s="54">
        <f t="shared" si="62"/>
        <v>0.37838500000000003</v>
      </c>
      <c r="H3646" s="73"/>
      <c r="I3646" s="74"/>
      <c r="J3646" s="156">
        <v>0</v>
      </c>
    </row>
    <row r="3647" spans="1:10" ht="15.75" hidden="1" thickBot="1" x14ac:dyDescent="0.3">
      <c r="A3647" s="222"/>
      <c r="B3647" s="225"/>
      <c r="C3647" s="36" t="s">
        <v>760</v>
      </c>
      <c r="D3647" s="36" t="s">
        <v>759</v>
      </c>
      <c r="E3647" s="37">
        <v>0.79930000000000001</v>
      </c>
      <c r="F3647" s="54">
        <v>16.311500000000002</v>
      </c>
      <c r="G3647" s="54">
        <f t="shared" si="62"/>
        <v>13.037781950000001</v>
      </c>
      <c r="H3647" s="73"/>
      <c r="I3647" s="74"/>
      <c r="J3647" s="156">
        <v>0</v>
      </c>
    </row>
    <row r="3648" spans="1:10" ht="39" hidden="1" thickBot="1" x14ac:dyDescent="0.3">
      <c r="A3648" s="222"/>
      <c r="B3648" s="225"/>
      <c r="C3648" s="36" t="s">
        <v>1164</v>
      </c>
      <c r="D3648" s="36" t="s">
        <v>1001</v>
      </c>
      <c r="E3648" s="37">
        <v>7.6E-3</v>
      </c>
      <c r="F3648" s="54">
        <v>8.6449999999999996</v>
      </c>
      <c r="G3648" s="54">
        <f t="shared" si="62"/>
        <v>6.5701999999999997E-2</v>
      </c>
      <c r="H3648" s="73"/>
      <c r="I3648" s="74"/>
      <c r="J3648" s="156">
        <v>0</v>
      </c>
    </row>
    <row r="3649" spans="1:10" ht="51.75" hidden="1" thickBot="1" x14ac:dyDescent="0.3">
      <c r="A3649" s="222"/>
      <c r="B3649" s="225"/>
      <c r="C3649" s="36" t="s">
        <v>3619</v>
      </c>
      <c r="D3649" s="36" t="s">
        <v>112</v>
      </c>
      <c r="E3649" s="37">
        <f>1*E3643</f>
        <v>8.2100000000000006E-2</v>
      </c>
      <c r="F3649" s="34">
        <v>5.5686425499999999</v>
      </c>
      <c r="G3649" s="34">
        <f t="shared" si="62"/>
        <v>0.457185553355</v>
      </c>
      <c r="H3649" s="35"/>
      <c r="I3649" s="31"/>
      <c r="J3649" s="156">
        <v>0</v>
      </c>
    </row>
    <row r="3650" spans="1:10" ht="39" hidden="1" thickBot="1" x14ac:dyDescent="0.3">
      <c r="A3650" s="222"/>
      <c r="B3650" s="225"/>
      <c r="C3650" s="36" t="s">
        <v>125</v>
      </c>
      <c r="D3650" s="36" t="s">
        <v>126</v>
      </c>
      <c r="E3650" s="37">
        <f>E3643*20</f>
        <v>1.6420000000000001</v>
      </c>
      <c r="F3650" s="54">
        <v>1.8443850999999998</v>
      </c>
      <c r="G3650" s="54">
        <f t="shared" si="62"/>
        <v>3.0284803341999997</v>
      </c>
      <c r="H3650" s="73"/>
      <c r="I3650" s="74"/>
      <c r="J3650" s="156">
        <v>0</v>
      </c>
    </row>
    <row r="3651" spans="1:10" ht="15.75" hidden="1" thickBot="1" x14ac:dyDescent="0.3">
      <c r="A3651" s="222"/>
      <c r="B3651" s="225"/>
      <c r="C3651" s="36"/>
      <c r="D3651" s="36"/>
      <c r="E3651" s="37"/>
      <c r="F3651" s="54" t="s">
        <v>572</v>
      </c>
      <c r="G3651" s="54" t="str">
        <f t="shared" si="62"/>
        <v/>
      </c>
      <c r="H3651" s="73"/>
      <c r="I3651" s="74"/>
      <c r="J3651" s="156">
        <v>0</v>
      </c>
    </row>
    <row r="3652" spans="1:10" ht="15.75" hidden="1" thickBot="1" x14ac:dyDescent="0.3">
      <c r="A3652" s="222"/>
      <c r="B3652" s="225"/>
      <c r="C3652" s="48" t="s">
        <v>1165</v>
      </c>
      <c r="D3652" s="36"/>
      <c r="E3652" s="37"/>
      <c r="F3652" s="54" t="s">
        <v>572</v>
      </c>
      <c r="G3652" s="54" t="str">
        <f t="shared" si="62"/>
        <v/>
      </c>
      <c r="H3652" s="73"/>
      <c r="I3652" s="74"/>
      <c r="J3652" s="156">
        <v>0</v>
      </c>
    </row>
    <row r="3653" spans="1:10" ht="15.75" hidden="1" thickBot="1" x14ac:dyDescent="0.3">
      <c r="A3653" s="222"/>
      <c r="B3653" s="225"/>
      <c r="C3653" s="36"/>
      <c r="D3653" s="36"/>
      <c r="E3653" s="37"/>
      <c r="F3653" s="54" t="s">
        <v>572</v>
      </c>
      <c r="G3653" s="54" t="str">
        <f t="shared" si="62"/>
        <v/>
      </c>
      <c r="H3653" s="73"/>
      <c r="I3653" s="74"/>
      <c r="J3653" s="156">
        <v>0</v>
      </c>
    </row>
    <row r="3654" spans="1:10" ht="15.75" hidden="1" thickBot="1" x14ac:dyDescent="0.3">
      <c r="A3654" s="221" t="s">
        <v>1166</v>
      </c>
      <c r="B3654" s="224" t="str">
        <f>INDEX(Orçamentária!A:B,MATCH(Composições!A3654,Orçamentária!A:A,0),2)</f>
        <v>Fixadores metálicos para rochas ornamentais (Modelo Edifício Principal, peça inferior)</v>
      </c>
      <c r="C3654" s="41"/>
      <c r="D3654" s="26" t="str">
        <f>TRIM(INDEX(Orçamentária!C:C,MATCH(Composições!A3654,Orçamentária!A:A,0),1))</f>
        <v>un</v>
      </c>
      <c r="E3654" s="27"/>
      <c r="F3654" s="49" t="s">
        <v>572</v>
      </c>
      <c r="G3654" s="28" t="str">
        <f t="shared" si="62"/>
        <v/>
      </c>
      <c r="H3654" s="29"/>
      <c r="I3654" s="30"/>
      <c r="J3654" s="156">
        <v>0</v>
      </c>
    </row>
    <row r="3655" spans="1:10" ht="15.75" hidden="1" thickBot="1" x14ac:dyDescent="0.3">
      <c r="A3655" s="222"/>
      <c r="B3655" s="225"/>
      <c r="C3655" s="32"/>
      <c r="D3655" s="32"/>
      <c r="E3655" s="33"/>
      <c r="F3655" s="54" t="s">
        <v>572</v>
      </c>
      <c r="G3655" s="54" t="str">
        <f t="shared" si="62"/>
        <v/>
      </c>
      <c r="H3655" s="73"/>
      <c r="I3655" s="74"/>
      <c r="J3655" s="156">
        <v>0</v>
      </c>
    </row>
    <row r="3656" spans="1:10" ht="15.75" hidden="1" thickBot="1" x14ac:dyDescent="0.3">
      <c r="A3656" s="222"/>
      <c r="B3656" s="225"/>
      <c r="C3656" s="36" t="s">
        <v>22</v>
      </c>
      <c r="D3656" s="36" t="s">
        <v>12</v>
      </c>
      <c r="E3656" s="37">
        <f>0.1+0.1</f>
        <v>0.2</v>
      </c>
      <c r="F3656" s="54">
        <v>22.087499999999999</v>
      </c>
      <c r="G3656" s="54">
        <f t="shared" si="62"/>
        <v>4.4174999999999995</v>
      </c>
      <c r="H3656" s="39">
        <f>SUM(G3656:G3661)</f>
        <v>7.8567408254940005</v>
      </c>
      <c r="I3656" s="40"/>
      <c r="J3656" s="156">
        <v>0</v>
      </c>
    </row>
    <row r="3657" spans="1:10" ht="15.75" hidden="1" thickBot="1" x14ac:dyDescent="0.3">
      <c r="A3657" s="222"/>
      <c r="B3657" s="225"/>
      <c r="C3657" s="36" t="s">
        <v>23</v>
      </c>
      <c r="D3657" s="36" t="s">
        <v>12</v>
      </c>
      <c r="E3657" s="37">
        <f>0.1+0.1</f>
        <v>0.2</v>
      </c>
      <c r="F3657" s="54">
        <v>16.311500000000002</v>
      </c>
      <c r="G3657" s="54">
        <f t="shared" si="62"/>
        <v>3.2623000000000006</v>
      </c>
      <c r="H3657" s="73"/>
      <c r="I3657" s="74"/>
      <c r="J3657" s="156">
        <v>0</v>
      </c>
    </row>
    <row r="3658" spans="1:10" ht="15.75" hidden="1" thickBot="1" x14ac:dyDescent="0.3">
      <c r="A3658" s="222"/>
      <c r="B3658" s="225"/>
      <c r="C3658" s="36" t="s">
        <v>1088</v>
      </c>
      <c r="D3658" s="36" t="s">
        <v>150</v>
      </c>
      <c r="E3658" s="37">
        <f>0.016*2</f>
        <v>3.2000000000000001E-2</v>
      </c>
      <c r="F3658" s="54">
        <v>0</v>
      </c>
      <c r="G3658" s="54">
        <f t="shared" si="62"/>
        <v>0</v>
      </c>
      <c r="H3658" s="73"/>
      <c r="I3658" s="74"/>
      <c r="J3658" s="156">
        <v>0</v>
      </c>
    </row>
    <row r="3659" spans="1:10" ht="15.75" hidden="1" thickBot="1" x14ac:dyDescent="0.3">
      <c r="A3659" s="222"/>
      <c r="B3659" s="225"/>
      <c r="C3659" s="36" t="s">
        <v>1089</v>
      </c>
      <c r="D3659" s="36" t="s">
        <v>1090</v>
      </c>
      <c r="E3659" s="37">
        <f>0.1*2</f>
        <v>0.2</v>
      </c>
      <c r="F3659" s="54">
        <v>0</v>
      </c>
      <c r="G3659" s="54">
        <f t="shared" si="62"/>
        <v>0</v>
      </c>
      <c r="H3659" s="73"/>
      <c r="I3659" s="74"/>
      <c r="J3659" s="156">
        <v>0</v>
      </c>
    </row>
    <row r="3660" spans="1:10" ht="15.75" hidden="1" thickBot="1" x14ac:dyDescent="0.3">
      <c r="A3660" s="222"/>
      <c r="B3660" s="225"/>
      <c r="C3660" s="36" t="s">
        <v>1167</v>
      </c>
      <c r="D3660" s="36" t="s">
        <v>150</v>
      </c>
      <c r="E3660" s="37">
        <v>1</v>
      </c>
      <c r="F3660" s="54" t="s">
        <v>572</v>
      </c>
      <c r="G3660" s="54" t="str">
        <f t="shared" si="62"/>
        <v/>
      </c>
      <c r="H3660" s="73"/>
      <c r="I3660" s="74"/>
      <c r="J3660" s="156">
        <v>0</v>
      </c>
    </row>
    <row r="3661" spans="1:10" ht="39" hidden="1" thickBot="1" x14ac:dyDescent="0.3">
      <c r="A3661" s="222"/>
      <c r="B3661" s="225"/>
      <c r="C3661" s="36" t="s">
        <v>1091</v>
      </c>
      <c r="D3661" s="36" t="s">
        <v>112</v>
      </c>
      <c r="E3661" s="37">
        <f>ROUND(0.15*0.05*0.05,4)</f>
        <v>4.0000000000000002E-4</v>
      </c>
      <c r="F3661" s="54">
        <v>442.352063735</v>
      </c>
      <c r="G3661" s="54">
        <f t="shared" si="62"/>
        <v>0.176940825494</v>
      </c>
      <c r="H3661" s="73"/>
      <c r="I3661" s="74"/>
      <c r="J3661" s="156">
        <v>0</v>
      </c>
    </row>
    <row r="3662" spans="1:10" ht="15.75" hidden="1" thickBot="1" x14ac:dyDescent="0.3">
      <c r="A3662" s="222"/>
      <c r="B3662" s="225"/>
      <c r="C3662" s="36"/>
      <c r="D3662" s="36"/>
      <c r="E3662" s="37"/>
      <c r="F3662" s="54" t="s">
        <v>572</v>
      </c>
      <c r="G3662" s="54" t="str">
        <f t="shared" si="62"/>
        <v/>
      </c>
      <c r="H3662" s="73"/>
      <c r="I3662" s="74"/>
      <c r="J3662" s="156">
        <v>0</v>
      </c>
    </row>
    <row r="3663" spans="1:10" ht="15.75" hidden="1" thickBot="1" x14ac:dyDescent="0.3">
      <c r="A3663" s="222"/>
      <c r="B3663" s="225"/>
      <c r="C3663" s="153" t="s">
        <v>1092</v>
      </c>
      <c r="D3663" s="36"/>
      <c r="E3663" s="37"/>
      <c r="F3663" s="54" t="s">
        <v>572</v>
      </c>
      <c r="G3663" s="54" t="str">
        <f t="shared" si="62"/>
        <v/>
      </c>
      <c r="H3663" s="73"/>
      <c r="I3663" s="74"/>
      <c r="J3663" s="156">
        <v>0</v>
      </c>
    </row>
    <row r="3664" spans="1:10" ht="15.75" hidden="1" thickBot="1" x14ac:dyDescent="0.3">
      <c r="A3664" s="223"/>
      <c r="B3664" s="226"/>
      <c r="C3664" s="55"/>
      <c r="D3664" s="55"/>
      <c r="E3664" s="66"/>
      <c r="F3664" s="76" t="s">
        <v>572</v>
      </c>
      <c r="G3664" s="76" t="str">
        <f t="shared" si="62"/>
        <v/>
      </c>
      <c r="H3664" s="77"/>
      <c r="I3664" s="74"/>
      <c r="J3664" s="156">
        <v>0</v>
      </c>
    </row>
    <row r="3665" spans="1:10" ht="15.75" hidden="1" thickBot="1" x14ac:dyDescent="0.3">
      <c r="A3665" s="221" t="s">
        <v>1168</v>
      </c>
      <c r="B3665" s="224" t="str">
        <f>INDEX(Orçamentária!A:B,MATCH(Composições!A3665,Orçamentária!A:A,0),2)</f>
        <v>Locação de Container - Escritório</v>
      </c>
      <c r="C3665" s="41"/>
      <c r="D3665" s="26" t="str">
        <f>TRIM(INDEX(Orçamentária!C:C,MATCH(Composições!A3665,Orçamentária!A:A,0),1))</f>
        <v>mês</v>
      </c>
      <c r="E3665" s="27"/>
      <c r="F3665" s="49" t="s">
        <v>572</v>
      </c>
      <c r="G3665" s="28" t="str">
        <f t="shared" si="62"/>
        <v/>
      </c>
      <c r="H3665" s="29"/>
      <c r="I3665" s="30"/>
      <c r="J3665" s="156">
        <v>0</v>
      </c>
    </row>
    <row r="3666" spans="1:10" ht="15.75" hidden="1" thickBot="1" x14ac:dyDescent="0.3">
      <c r="A3666" s="227"/>
      <c r="B3666" s="225"/>
      <c r="C3666" s="32"/>
      <c r="D3666" s="32"/>
      <c r="E3666" s="33"/>
      <c r="F3666" s="54" t="s">
        <v>572</v>
      </c>
      <c r="G3666" s="54" t="str">
        <f t="shared" ref="G3666:G3729" si="63">IF(ISNUMBER(F3666),E3666*F3666,"")</f>
        <v/>
      </c>
      <c r="H3666" s="73"/>
      <c r="I3666" s="74"/>
      <c r="J3666" s="156">
        <v>0</v>
      </c>
    </row>
    <row r="3667" spans="1:10" ht="39" hidden="1" thickBot="1" x14ac:dyDescent="0.3">
      <c r="A3667" s="227"/>
      <c r="B3667" s="225"/>
      <c r="C3667" s="36" t="s">
        <v>1169</v>
      </c>
      <c r="D3667" s="50" t="s">
        <v>131</v>
      </c>
      <c r="E3667" s="37">
        <v>1</v>
      </c>
      <c r="F3667" s="54">
        <v>555.75</v>
      </c>
      <c r="G3667" s="54">
        <f t="shared" si="63"/>
        <v>555.75</v>
      </c>
      <c r="H3667" s="39">
        <f>SUM(G3667:G3667)</f>
        <v>555.75</v>
      </c>
      <c r="I3667" s="40"/>
      <c r="J3667" s="156">
        <v>0</v>
      </c>
    </row>
    <row r="3668" spans="1:10" ht="15.75" hidden="1" thickBot="1" x14ac:dyDescent="0.3">
      <c r="A3668" s="228"/>
      <c r="B3668" s="226"/>
      <c r="C3668" s="36"/>
      <c r="D3668" s="36"/>
      <c r="E3668" s="37"/>
      <c r="F3668" s="54" t="s">
        <v>572</v>
      </c>
      <c r="G3668" s="54" t="str">
        <f t="shared" si="63"/>
        <v/>
      </c>
      <c r="H3668" s="73"/>
      <c r="I3668" s="74"/>
      <c r="J3668" s="156">
        <v>0</v>
      </c>
    </row>
    <row r="3669" spans="1:10" ht="15.75" hidden="1" thickBot="1" x14ac:dyDescent="0.3">
      <c r="A3669" s="221" t="s">
        <v>1170</v>
      </c>
      <c r="B3669" s="224" t="str">
        <f>INDEX(Orçamentária!A:B,MATCH(Composições!A3669,Orçamentária!A:A,0),2)</f>
        <v>Abertura/fechamento de rasgo em concreto</v>
      </c>
      <c r="C3669" s="41"/>
      <c r="D3669" s="26" t="str">
        <f>TRIM(INDEX(Orçamentária!C:C,MATCH(Composições!A3669,Orçamentária!A:A,0),1))</f>
        <v>m</v>
      </c>
      <c r="E3669" s="27"/>
      <c r="F3669" s="42" t="s">
        <v>572</v>
      </c>
      <c r="G3669" s="28" t="str">
        <f t="shared" si="63"/>
        <v/>
      </c>
      <c r="H3669" s="29"/>
      <c r="I3669" s="30"/>
      <c r="J3669" s="156">
        <v>0</v>
      </c>
    </row>
    <row r="3670" spans="1:10" ht="15.75" hidden="1" thickBot="1" x14ac:dyDescent="0.3">
      <c r="A3670" s="222"/>
      <c r="B3670" s="225"/>
      <c r="C3670" s="32"/>
      <c r="D3670" s="32"/>
      <c r="E3670" s="33"/>
      <c r="F3670" s="43" t="s">
        <v>572</v>
      </c>
      <c r="G3670" s="31" t="str">
        <f t="shared" si="63"/>
        <v/>
      </c>
      <c r="H3670" s="35"/>
      <c r="I3670" s="31"/>
      <c r="J3670" s="156">
        <v>0</v>
      </c>
    </row>
    <row r="3671" spans="1:10" ht="26.25" hidden="1" thickBot="1" x14ac:dyDescent="0.3">
      <c r="A3671" s="222"/>
      <c r="B3671" s="225"/>
      <c r="C3671" s="36" t="s">
        <v>1171</v>
      </c>
      <c r="D3671" s="36" t="s">
        <v>1001</v>
      </c>
      <c r="E3671" s="37">
        <v>0.183</v>
      </c>
      <c r="F3671" s="31">
        <v>20.253999999999998</v>
      </c>
      <c r="G3671" s="31">
        <f t="shared" si="63"/>
        <v>3.7064819999999994</v>
      </c>
      <c r="H3671" s="39">
        <f>SUM(G3671:G3677)</f>
        <v>36.012662543592</v>
      </c>
      <c r="I3671" s="40"/>
      <c r="J3671" s="156">
        <v>0</v>
      </c>
    </row>
    <row r="3672" spans="1:10" ht="26.25" hidden="1" thickBot="1" x14ac:dyDescent="0.3">
      <c r="A3672" s="222"/>
      <c r="B3672" s="225"/>
      <c r="C3672" s="36" t="s">
        <v>1172</v>
      </c>
      <c r="D3672" s="36" t="s">
        <v>1003</v>
      </c>
      <c r="E3672" s="37">
        <v>0.40100000000000002</v>
      </c>
      <c r="F3672" s="31">
        <v>18.829000000000001</v>
      </c>
      <c r="G3672" s="31">
        <f t="shared" si="63"/>
        <v>7.5504290000000003</v>
      </c>
      <c r="H3672" s="35"/>
      <c r="I3672" s="31"/>
      <c r="J3672" s="156">
        <v>0</v>
      </c>
    </row>
    <row r="3673" spans="1:10" ht="26.25" hidden="1" thickBot="1" x14ac:dyDescent="0.3">
      <c r="A3673" s="222"/>
      <c r="B3673" s="225"/>
      <c r="C3673" s="36" t="s">
        <v>110</v>
      </c>
      <c r="D3673" s="36" t="s">
        <v>12</v>
      </c>
      <c r="E3673" s="37">
        <v>9.0999999999999998E-2</v>
      </c>
      <c r="F3673" s="31">
        <v>16.891000000000002</v>
      </c>
      <c r="G3673" s="31">
        <f t="shared" si="63"/>
        <v>1.5370810000000001</v>
      </c>
      <c r="H3673" s="35"/>
      <c r="I3673" s="31"/>
      <c r="J3673" s="156">
        <v>0</v>
      </c>
    </row>
    <row r="3674" spans="1:10" ht="15.75" hidden="1" thickBot="1" x14ac:dyDescent="0.3">
      <c r="A3674" s="222"/>
      <c r="B3674" s="225"/>
      <c r="C3674" s="36" t="s">
        <v>39</v>
      </c>
      <c r="D3674" s="47" t="s">
        <v>12</v>
      </c>
      <c r="E3674" s="37">
        <v>0.58299999999999996</v>
      </c>
      <c r="F3674" s="31">
        <v>21.622</v>
      </c>
      <c r="G3674" s="31">
        <f t="shared" si="63"/>
        <v>12.605625999999999</v>
      </c>
      <c r="H3674" s="35"/>
      <c r="I3674" s="31"/>
      <c r="J3674" s="156">
        <v>0</v>
      </c>
    </row>
    <row r="3675" spans="1:10" ht="26.25" hidden="1" thickBot="1" x14ac:dyDescent="0.3">
      <c r="A3675" s="222"/>
      <c r="B3675" s="225"/>
      <c r="C3675" s="36" t="s">
        <v>110</v>
      </c>
      <c r="D3675" s="36" t="s">
        <v>12</v>
      </c>
      <c r="E3675" s="37">
        <v>3.7999999999999999E-2</v>
      </c>
      <c r="F3675" s="31">
        <v>16.891000000000002</v>
      </c>
      <c r="G3675" s="31">
        <f t="shared" si="63"/>
        <v>0.64185800000000004</v>
      </c>
      <c r="H3675" s="35"/>
      <c r="I3675" s="31"/>
      <c r="J3675" s="156">
        <v>0</v>
      </c>
    </row>
    <row r="3676" spans="1:10" ht="15.75" hidden="1" thickBot="1" x14ac:dyDescent="0.3">
      <c r="A3676" s="222"/>
      <c r="B3676" s="225"/>
      <c r="C3676" s="36" t="s">
        <v>39</v>
      </c>
      <c r="D3676" s="47" t="s">
        <v>12</v>
      </c>
      <c r="E3676" s="37">
        <v>0.27200000000000002</v>
      </c>
      <c r="F3676" s="31">
        <v>21.622</v>
      </c>
      <c r="G3676" s="31">
        <f t="shared" si="63"/>
        <v>5.8811840000000002</v>
      </c>
      <c r="H3676" s="35"/>
      <c r="I3676" s="31"/>
      <c r="J3676" s="156">
        <v>0</v>
      </c>
    </row>
    <row r="3677" spans="1:10" ht="26.25" hidden="1" thickBot="1" x14ac:dyDescent="0.3">
      <c r="A3677" s="222"/>
      <c r="B3677" s="225"/>
      <c r="C3677" s="36" t="s">
        <v>111</v>
      </c>
      <c r="D3677" s="36" t="s">
        <v>112</v>
      </c>
      <c r="E3677" s="37">
        <v>8.0000000000000002E-3</v>
      </c>
      <c r="F3677" s="34">
        <v>511.25031794899996</v>
      </c>
      <c r="G3677" s="34">
        <f t="shared" si="63"/>
        <v>4.090002543592</v>
      </c>
      <c r="H3677" s="35"/>
      <c r="I3677" s="31"/>
      <c r="J3677" s="156">
        <v>0</v>
      </c>
    </row>
    <row r="3678" spans="1:10" ht="15.75" hidden="1" thickBot="1" x14ac:dyDescent="0.3">
      <c r="A3678" s="223"/>
      <c r="B3678" s="226"/>
      <c r="C3678" s="36"/>
      <c r="D3678" s="36"/>
      <c r="E3678" s="37"/>
      <c r="F3678" s="31" t="s">
        <v>572</v>
      </c>
      <c r="G3678" s="31" t="str">
        <f t="shared" si="63"/>
        <v/>
      </c>
      <c r="H3678" s="35"/>
      <c r="I3678" s="31"/>
      <c r="J3678" s="156">
        <v>0</v>
      </c>
    </row>
    <row r="3679" spans="1:10" ht="15.75" hidden="1" thickBot="1" x14ac:dyDescent="0.3">
      <c r="A3679" s="221" t="s">
        <v>1173</v>
      </c>
      <c r="B3679" s="224" t="str">
        <f>INDEX(Orçamentária!A:B,MATCH(Composições!A3679,Orçamentária!A:A,0),2)</f>
        <v>Recomposição de rejuntamento sobre revestimentos</v>
      </c>
      <c r="C3679" s="41"/>
      <c r="D3679" s="26" t="str">
        <f>TRIM(INDEX(Orçamentária!C:C,MATCH(Composições!A3679,Orçamentária!A:A,0),1))</f>
        <v>m2</v>
      </c>
      <c r="E3679" s="27"/>
      <c r="F3679" s="49" t="s">
        <v>572</v>
      </c>
      <c r="G3679" s="28" t="str">
        <f t="shared" si="63"/>
        <v/>
      </c>
      <c r="H3679" s="29"/>
      <c r="I3679" s="30"/>
      <c r="J3679" s="156">
        <v>0</v>
      </c>
    </row>
    <row r="3680" spans="1:10" ht="15.75" hidden="1" thickBot="1" x14ac:dyDescent="0.3">
      <c r="A3680" s="227"/>
      <c r="B3680" s="225"/>
      <c r="C3680" s="32"/>
      <c r="D3680" s="32"/>
      <c r="E3680" s="33"/>
      <c r="F3680" s="54" t="s">
        <v>572</v>
      </c>
      <c r="G3680" s="54" t="str">
        <f t="shared" si="63"/>
        <v/>
      </c>
      <c r="H3680" s="73"/>
      <c r="I3680" s="74"/>
      <c r="J3680" s="156">
        <v>0</v>
      </c>
    </row>
    <row r="3681" spans="1:10" ht="15.75" hidden="1" thickBot="1" x14ac:dyDescent="0.3">
      <c r="A3681" s="227"/>
      <c r="B3681" s="225"/>
      <c r="C3681" s="36" t="s">
        <v>3622</v>
      </c>
      <c r="D3681" s="50" t="s">
        <v>42</v>
      </c>
      <c r="E3681" s="37">
        <v>0.25900000000000001</v>
      </c>
      <c r="F3681" s="54">
        <v>2.508</v>
      </c>
      <c r="G3681" s="54">
        <f t="shared" si="63"/>
        <v>0.64957200000000004</v>
      </c>
      <c r="H3681" s="39">
        <f>SUM(G3681:G3682)</f>
        <v>8.8053220000000003</v>
      </c>
      <c r="I3681" s="40"/>
      <c r="J3681" s="156">
        <v>0</v>
      </c>
    </row>
    <row r="3682" spans="1:10" ht="15.75" hidden="1" thickBot="1" x14ac:dyDescent="0.3">
      <c r="A3682" s="227"/>
      <c r="B3682" s="225"/>
      <c r="C3682" s="36" t="s">
        <v>23</v>
      </c>
      <c r="D3682" s="36" t="s">
        <v>12</v>
      </c>
      <c r="E3682" s="37">
        <f>0.25*2</f>
        <v>0.5</v>
      </c>
      <c r="F3682" s="54">
        <v>16.311500000000002</v>
      </c>
      <c r="G3682" s="54">
        <f t="shared" si="63"/>
        <v>8.1557500000000012</v>
      </c>
      <c r="H3682" s="73"/>
      <c r="I3682" s="74"/>
      <c r="J3682" s="156">
        <v>0</v>
      </c>
    </row>
    <row r="3683" spans="1:10" ht="15.75" hidden="1" thickBot="1" x14ac:dyDescent="0.3">
      <c r="A3683" s="228"/>
      <c r="B3683" s="226"/>
      <c r="C3683" s="36"/>
      <c r="D3683" s="36"/>
      <c r="E3683" s="37"/>
      <c r="F3683" s="54" t="s">
        <v>572</v>
      </c>
      <c r="G3683" s="54" t="str">
        <f t="shared" si="63"/>
        <v/>
      </c>
      <c r="H3683" s="73"/>
      <c r="I3683" s="74"/>
      <c r="J3683" s="156">
        <v>0</v>
      </c>
    </row>
    <row r="3684" spans="1:10" ht="15.75" hidden="1" thickBot="1" x14ac:dyDescent="0.3">
      <c r="A3684" s="221" t="s">
        <v>1174</v>
      </c>
      <c r="B3684" s="224" t="str">
        <f>INDEX(Orçamentária!A:B,MATCH(Composições!A3684,Orçamentária!A:A,0),2)</f>
        <v>Impermeabilização de revestimentos em pedra</v>
      </c>
      <c r="C3684" s="41"/>
      <c r="D3684" s="26" t="str">
        <f>TRIM(INDEX(Orçamentária!C:C,MATCH(Composições!A3684,Orçamentária!A:A,0),1))</f>
        <v>m2</v>
      </c>
      <c r="E3684" s="27"/>
      <c r="F3684" s="49" t="s">
        <v>572</v>
      </c>
      <c r="G3684" s="28" t="str">
        <f t="shared" si="63"/>
        <v/>
      </c>
      <c r="H3684" s="29"/>
      <c r="I3684" s="30"/>
      <c r="J3684" s="156">
        <v>0</v>
      </c>
    </row>
    <row r="3685" spans="1:10" ht="15.75" hidden="1" thickBot="1" x14ac:dyDescent="0.3">
      <c r="A3685" s="227"/>
      <c r="B3685" s="225"/>
      <c r="C3685" s="32"/>
      <c r="D3685" s="32"/>
      <c r="E3685" s="33"/>
      <c r="F3685" s="54" t="s">
        <v>572</v>
      </c>
      <c r="G3685" s="54" t="str">
        <f t="shared" si="63"/>
        <v/>
      </c>
      <c r="H3685" s="73"/>
      <c r="I3685" s="74"/>
      <c r="J3685" s="156">
        <v>0</v>
      </c>
    </row>
    <row r="3686" spans="1:10" ht="15.75" hidden="1" thickBot="1" x14ac:dyDescent="0.3">
      <c r="A3686" s="227"/>
      <c r="B3686" s="225"/>
      <c r="C3686" s="36" t="s">
        <v>1175</v>
      </c>
      <c r="D3686" s="50" t="s">
        <v>105</v>
      </c>
      <c r="E3686" s="37">
        <f>ROUND(1/12,4)</f>
        <v>8.3299999999999999E-2</v>
      </c>
      <c r="F3686" s="54" t="s">
        <v>572</v>
      </c>
      <c r="G3686" s="54" t="str">
        <f t="shared" si="63"/>
        <v/>
      </c>
      <c r="H3686" s="39">
        <f>SUM(G3686:G3688)</f>
        <v>18.145949999999999</v>
      </c>
      <c r="I3686" s="40"/>
      <c r="J3686" s="156">
        <v>0</v>
      </c>
    </row>
    <row r="3687" spans="1:10" ht="15.75" hidden="1" thickBot="1" x14ac:dyDescent="0.3">
      <c r="A3687" s="227"/>
      <c r="B3687" s="225"/>
      <c r="C3687" s="36" t="s">
        <v>1075</v>
      </c>
      <c r="D3687" s="36" t="s">
        <v>759</v>
      </c>
      <c r="E3687" s="37">
        <f>1.2/2</f>
        <v>0.6</v>
      </c>
      <c r="F3687" s="54">
        <v>22.087499999999999</v>
      </c>
      <c r="G3687" s="54">
        <f t="shared" si="63"/>
        <v>13.2525</v>
      </c>
      <c r="H3687" s="73"/>
      <c r="I3687" s="74"/>
      <c r="J3687" s="156">
        <v>0</v>
      </c>
    </row>
    <row r="3688" spans="1:10" ht="15.75" hidden="1" thickBot="1" x14ac:dyDescent="0.3">
      <c r="A3688" s="227"/>
      <c r="B3688" s="225"/>
      <c r="C3688" s="36" t="s">
        <v>23</v>
      </c>
      <c r="D3688" s="36" t="s">
        <v>759</v>
      </c>
      <c r="E3688" s="37">
        <f>0.6/2</f>
        <v>0.3</v>
      </c>
      <c r="F3688" s="54">
        <v>16.311500000000002</v>
      </c>
      <c r="G3688" s="54">
        <f t="shared" si="63"/>
        <v>4.8934500000000005</v>
      </c>
      <c r="H3688" s="73"/>
      <c r="I3688" s="74"/>
      <c r="J3688" s="156">
        <v>0</v>
      </c>
    </row>
    <row r="3689" spans="1:10" ht="15.75" hidden="1" thickBot="1" x14ac:dyDescent="0.3">
      <c r="A3689" s="227"/>
      <c r="B3689" s="225"/>
      <c r="C3689" s="36"/>
      <c r="D3689" s="36"/>
      <c r="E3689" s="37"/>
      <c r="F3689" s="54" t="s">
        <v>572</v>
      </c>
      <c r="G3689" s="54" t="str">
        <f t="shared" si="63"/>
        <v/>
      </c>
      <c r="H3689" s="73"/>
      <c r="I3689" s="74"/>
      <c r="J3689" s="156">
        <v>0</v>
      </c>
    </row>
    <row r="3690" spans="1:10" ht="26.25" hidden="1" thickBot="1" x14ac:dyDescent="0.3">
      <c r="A3690" s="227"/>
      <c r="B3690" s="225"/>
      <c r="C3690" s="48" t="s">
        <v>1176</v>
      </c>
      <c r="D3690" s="36"/>
      <c r="E3690" s="37"/>
      <c r="F3690" s="54" t="s">
        <v>572</v>
      </c>
      <c r="G3690" s="54" t="str">
        <f t="shared" si="63"/>
        <v/>
      </c>
      <c r="H3690" s="73"/>
      <c r="I3690" s="74"/>
      <c r="J3690" s="156">
        <v>0</v>
      </c>
    </row>
    <row r="3691" spans="1:10" ht="15.75" hidden="1" thickBot="1" x14ac:dyDescent="0.3">
      <c r="A3691" s="227"/>
      <c r="B3691" s="225"/>
      <c r="C3691" s="48" t="s">
        <v>1177</v>
      </c>
      <c r="D3691" s="36"/>
      <c r="E3691" s="37"/>
      <c r="F3691" s="54" t="s">
        <v>572</v>
      </c>
      <c r="G3691" s="54" t="str">
        <f t="shared" si="63"/>
        <v/>
      </c>
      <c r="H3691" s="73"/>
      <c r="I3691" s="74"/>
      <c r="J3691" s="156">
        <v>0</v>
      </c>
    </row>
    <row r="3692" spans="1:10" ht="15.75" hidden="1" thickBot="1" x14ac:dyDescent="0.3">
      <c r="A3692" s="228"/>
      <c r="B3692" s="226"/>
      <c r="C3692" s="36"/>
      <c r="D3692" s="36"/>
      <c r="E3692" s="37"/>
      <c r="F3692" s="54" t="s">
        <v>572</v>
      </c>
      <c r="G3692" s="54" t="str">
        <f t="shared" si="63"/>
        <v/>
      </c>
      <c r="H3692" s="73"/>
      <c r="I3692" s="74"/>
      <c r="J3692" s="156">
        <v>0</v>
      </c>
    </row>
    <row r="3693" spans="1:10" ht="15.75" hidden="1" thickBot="1" x14ac:dyDescent="0.3">
      <c r="A3693" s="221" t="s">
        <v>1178</v>
      </c>
      <c r="B3693" s="224" t="str">
        <f>INDEX(Orçamentária!A:B,MATCH(Composições!A3693,Orçamentária!A:A,0),2)</f>
        <v>Piso vinílico semiflexível</v>
      </c>
      <c r="C3693" s="41"/>
      <c r="D3693" s="26" t="str">
        <f>TRIM(INDEX(Orçamentária!C:C,MATCH(Composições!A3693,Orçamentária!A:A,0),1))</f>
        <v>m2</v>
      </c>
      <c r="E3693" s="27"/>
      <c r="F3693" s="49" t="s">
        <v>572</v>
      </c>
      <c r="G3693" s="28" t="str">
        <f t="shared" si="63"/>
        <v/>
      </c>
      <c r="H3693" s="29"/>
      <c r="I3693" s="30"/>
      <c r="J3693" s="156">
        <v>0</v>
      </c>
    </row>
    <row r="3694" spans="1:10" ht="15.75" hidden="1" thickBot="1" x14ac:dyDescent="0.3">
      <c r="A3694" s="222"/>
      <c r="B3694" s="225"/>
      <c r="C3694" s="32"/>
      <c r="D3694" s="32"/>
      <c r="E3694" s="33"/>
      <c r="F3694" s="54" t="s">
        <v>572</v>
      </c>
      <c r="G3694" s="54" t="str">
        <f t="shared" si="63"/>
        <v/>
      </c>
      <c r="H3694" s="73"/>
      <c r="I3694" s="74"/>
      <c r="J3694" s="156">
        <v>0</v>
      </c>
    </row>
    <row r="3695" spans="1:10" ht="15.75" hidden="1" thickBot="1" x14ac:dyDescent="0.3">
      <c r="A3695" s="222"/>
      <c r="B3695" s="225"/>
      <c r="C3695" s="36" t="s">
        <v>305</v>
      </c>
      <c r="D3695" s="36" t="s">
        <v>957</v>
      </c>
      <c r="E3695" s="37">
        <v>9.5000000000000001E-2</v>
      </c>
      <c r="F3695" s="54">
        <v>25.478999999999999</v>
      </c>
      <c r="G3695" s="54">
        <f t="shared" si="63"/>
        <v>2.4205049999999999</v>
      </c>
      <c r="H3695" s="39">
        <f>SUM(G3695:G3700)</f>
        <v>147.07158999999999</v>
      </c>
      <c r="I3695" s="40"/>
      <c r="J3695" s="156">
        <v>0</v>
      </c>
    </row>
    <row r="3696" spans="1:10" ht="26.25" hidden="1" thickBot="1" x14ac:dyDescent="0.3">
      <c r="A3696" s="222"/>
      <c r="B3696" s="225"/>
      <c r="C3696" s="36" t="s">
        <v>1179</v>
      </c>
      <c r="D3696" s="36" t="s">
        <v>1053</v>
      </c>
      <c r="E3696" s="37">
        <v>1.1100000000000001</v>
      </c>
      <c r="F3696" s="54">
        <v>123.07250000000001</v>
      </c>
      <c r="G3696" s="54">
        <f t="shared" si="63"/>
        <v>136.61047500000001</v>
      </c>
      <c r="H3696" s="73"/>
      <c r="I3696" s="74"/>
      <c r="J3696" s="156">
        <v>0</v>
      </c>
    </row>
    <row r="3697" spans="1:10" ht="15.75" hidden="1" thickBot="1" x14ac:dyDescent="0.3">
      <c r="A3697" s="222"/>
      <c r="B3697" s="225"/>
      <c r="C3697" s="36" t="s">
        <v>768</v>
      </c>
      <c r="D3697" s="36" t="s">
        <v>759</v>
      </c>
      <c r="E3697" s="37">
        <v>0.26100000000000001</v>
      </c>
      <c r="F3697" s="54">
        <v>22.087499999999999</v>
      </c>
      <c r="G3697" s="54">
        <f t="shared" si="63"/>
        <v>5.7648374999999996</v>
      </c>
      <c r="H3697" s="73"/>
      <c r="I3697" s="74"/>
      <c r="J3697" s="156">
        <v>0</v>
      </c>
    </row>
    <row r="3698" spans="1:10" ht="15.75" hidden="1" thickBot="1" x14ac:dyDescent="0.3">
      <c r="A3698" s="222"/>
      <c r="B3698" s="225"/>
      <c r="C3698" s="36" t="s">
        <v>760</v>
      </c>
      <c r="D3698" s="36" t="s">
        <v>759</v>
      </c>
      <c r="E3698" s="37">
        <v>0.13</v>
      </c>
      <c r="F3698" s="54">
        <v>16.311500000000002</v>
      </c>
      <c r="G3698" s="54">
        <f t="shared" si="63"/>
        <v>2.1204950000000005</v>
      </c>
      <c r="H3698" s="73"/>
      <c r="I3698" s="74"/>
      <c r="J3698" s="156">
        <v>0</v>
      </c>
    </row>
    <row r="3699" spans="1:10" ht="26.25" hidden="1" thickBot="1" x14ac:dyDescent="0.3">
      <c r="A3699" s="222"/>
      <c r="B3699" s="225"/>
      <c r="C3699" s="36" t="s">
        <v>1180</v>
      </c>
      <c r="D3699" s="36" t="s">
        <v>1001</v>
      </c>
      <c r="E3699" s="37">
        <v>2.5000000000000001E-2</v>
      </c>
      <c r="F3699" s="54">
        <v>2.1755</v>
      </c>
      <c r="G3699" s="54">
        <f t="shared" si="63"/>
        <v>5.4387500000000005E-2</v>
      </c>
      <c r="H3699" s="73"/>
      <c r="I3699" s="74"/>
      <c r="J3699" s="156">
        <v>0</v>
      </c>
    </row>
    <row r="3700" spans="1:10" ht="26.25" hidden="1" thickBot="1" x14ac:dyDescent="0.3">
      <c r="A3700" s="222"/>
      <c r="B3700" s="225"/>
      <c r="C3700" s="36" t="s">
        <v>1181</v>
      </c>
      <c r="D3700" s="36" t="s">
        <v>1003</v>
      </c>
      <c r="E3700" s="37">
        <v>0.23599999999999999</v>
      </c>
      <c r="F3700" s="54">
        <v>0.42749999999999999</v>
      </c>
      <c r="G3700" s="54">
        <f t="shared" si="63"/>
        <v>0.10088999999999999</v>
      </c>
      <c r="H3700" s="73"/>
      <c r="I3700" s="74"/>
      <c r="J3700" s="156">
        <v>0</v>
      </c>
    </row>
    <row r="3701" spans="1:10" ht="15.75" hidden="1" thickBot="1" x14ac:dyDescent="0.3">
      <c r="A3701" s="222"/>
      <c r="B3701" s="225"/>
      <c r="C3701" s="36"/>
      <c r="D3701" s="36"/>
      <c r="E3701" s="37"/>
      <c r="F3701" s="54" t="s">
        <v>572</v>
      </c>
      <c r="G3701" s="54" t="str">
        <f t="shared" si="63"/>
        <v/>
      </c>
      <c r="H3701" s="73"/>
      <c r="I3701" s="74"/>
      <c r="J3701" s="156">
        <v>0</v>
      </c>
    </row>
    <row r="3702" spans="1:10" ht="15.75" hidden="1" thickBot="1" x14ac:dyDescent="0.3">
      <c r="A3702" s="221" t="s">
        <v>1182</v>
      </c>
      <c r="B3702" s="224" t="str">
        <f>INDEX(Orçamentária!A:B,MATCH(Composições!A3702,Orçamentária!A:A,0),2)</f>
        <v>Locação de Container - Sanitário</v>
      </c>
      <c r="C3702" s="41"/>
      <c r="D3702" s="26" t="str">
        <f>TRIM(INDEX(Orçamentária!C:C,MATCH(Composições!A3702,Orçamentária!A:A,0),1))</f>
        <v>mês</v>
      </c>
      <c r="E3702" s="27"/>
      <c r="F3702" s="49" t="s">
        <v>572</v>
      </c>
      <c r="G3702" s="28" t="str">
        <f t="shared" si="63"/>
        <v/>
      </c>
      <c r="H3702" s="29"/>
      <c r="I3702" s="30"/>
      <c r="J3702" s="156">
        <v>0</v>
      </c>
    </row>
    <row r="3703" spans="1:10" ht="15.75" hidden="1" thickBot="1" x14ac:dyDescent="0.3">
      <c r="A3703" s="227"/>
      <c r="B3703" s="225"/>
      <c r="C3703" s="32"/>
      <c r="D3703" s="32"/>
      <c r="E3703" s="33"/>
      <c r="F3703" s="54" t="s">
        <v>572</v>
      </c>
      <c r="G3703" s="54" t="str">
        <f t="shared" si="63"/>
        <v/>
      </c>
      <c r="H3703" s="73"/>
      <c r="I3703" s="74"/>
      <c r="J3703" s="156">
        <v>0</v>
      </c>
    </row>
    <row r="3704" spans="1:10" ht="39" hidden="1" thickBot="1" x14ac:dyDescent="0.3">
      <c r="A3704" s="227"/>
      <c r="B3704" s="225"/>
      <c r="C3704" s="36" t="s">
        <v>1183</v>
      </c>
      <c r="D3704" s="50" t="s">
        <v>131</v>
      </c>
      <c r="E3704" s="37">
        <v>1</v>
      </c>
      <c r="F3704" s="54">
        <v>694.6875</v>
      </c>
      <c r="G3704" s="54">
        <f t="shared" si="63"/>
        <v>694.6875</v>
      </c>
      <c r="H3704" s="39">
        <f>SUM(G3704:G3704)</f>
        <v>694.6875</v>
      </c>
      <c r="I3704" s="40"/>
      <c r="J3704" s="156">
        <v>0</v>
      </c>
    </row>
    <row r="3705" spans="1:10" ht="15.75" hidden="1" thickBot="1" x14ac:dyDescent="0.3">
      <c r="A3705" s="228"/>
      <c r="B3705" s="226"/>
      <c r="C3705" s="36"/>
      <c r="D3705" s="36"/>
      <c r="E3705" s="37"/>
      <c r="F3705" s="54" t="s">
        <v>572</v>
      </c>
      <c r="G3705" s="54" t="str">
        <f t="shared" si="63"/>
        <v/>
      </c>
      <c r="H3705" s="73"/>
      <c r="I3705" s="74"/>
      <c r="J3705" s="156">
        <v>0</v>
      </c>
    </row>
    <row r="3706" spans="1:10" ht="15.75" hidden="1" thickBot="1" x14ac:dyDescent="0.3">
      <c r="A3706" s="221" t="s">
        <v>1184</v>
      </c>
      <c r="B3706" s="224" t="str">
        <f>INDEX(Orçamentária!A:B,MATCH(Composições!A3706,Orçamentária!A:A,0),2)</f>
        <v>Locação de Container - Almoxarifado</v>
      </c>
      <c r="C3706" s="41"/>
      <c r="D3706" s="26" t="str">
        <f>TRIM(INDEX(Orçamentária!C:C,MATCH(Composições!A3706,Orçamentária!A:A,0),1))</f>
        <v>mês</v>
      </c>
      <c r="E3706" s="27"/>
      <c r="F3706" s="49" t="s">
        <v>572</v>
      </c>
      <c r="G3706" s="28" t="str">
        <f t="shared" si="63"/>
        <v/>
      </c>
      <c r="H3706" s="29"/>
      <c r="I3706" s="30"/>
      <c r="J3706" s="156">
        <v>0</v>
      </c>
    </row>
    <row r="3707" spans="1:10" ht="15.75" hidden="1" thickBot="1" x14ac:dyDescent="0.3">
      <c r="A3707" s="227"/>
      <c r="B3707" s="225"/>
      <c r="C3707" s="32"/>
      <c r="D3707" s="32"/>
      <c r="E3707" s="33"/>
      <c r="F3707" s="54" t="s">
        <v>572</v>
      </c>
      <c r="G3707" s="54" t="str">
        <f t="shared" si="63"/>
        <v/>
      </c>
      <c r="H3707" s="73"/>
      <c r="I3707" s="74"/>
      <c r="J3707" s="156">
        <v>0</v>
      </c>
    </row>
    <row r="3708" spans="1:10" ht="26.25" hidden="1" thickBot="1" x14ac:dyDescent="0.3">
      <c r="A3708" s="227"/>
      <c r="B3708" s="225"/>
      <c r="C3708" s="36" t="s">
        <v>1185</v>
      </c>
      <c r="D3708" s="50" t="s">
        <v>131</v>
      </c>
      <c r="E3708" s="37">
        <v>1</v>
      </c>
      <c r="F3708" s="54">
        <v>434.17849999999993</v>
      </c>
      <c r="G3708" s="54">
        <f t="shared" si="63"/>
        <v>434.17849999999993</v>
      </c>
      <c r="H3708" s="39">
        <f>SUM(G3708:G3708)</f>
        <v>434.17849999999993</v>
      </c>
      <c r="I3708" s="40"/>
      <c r="J3708" s="156">
        <v>0</v>
      </c>
    </row>
    <row r="3709" spans="1:10" ht="15.75" hidden="1" thickBot="1" x14ac:dyDescent="0.3">
      <c r="A3709" s="228"/>
      <c r="B3709" s="226"/>
      <c r="C3709" s="36"/>
      <c r="D3709" s="36"/>
      <c r="E3709" s="37"/>
      <c r="F3709" s="54" t="s">
        <v>572</v>
      </c>
      <c r="G3709" s="54" t="str">
        <f t="shared" si="63"/>
        <v/>
      </c>
      <c r="H3709" s="73"/>
      <c r="I3709" s="74"/>
      <c r="J3709" s="156">
        <v>0</v>
      </c>
    </row>
    <row r="3710" spans="1:10" ht="15.75" hidden="1" thickBot="1" x14ac:dyDescent="0.3">
      <c r="A3710" s="221" t="s">
        <v>1186</v>
      </c>
      <c r="B3710" s="224" t="str">
        <f>INDEX(Orçamentária!A:B,MATCH(Composições!A3710,Orçamentária!A:A,0),2)</f>
        <v>Placa de Obra</v>
      </c>
      <c r="C3710" s="41"/>
      <c r="D3710" s="26" t="str">
        <f>TRIM(INDEX(Orçamentária!C:C,MATCH(Composições!A3710,Orçamentária!A:A,0),1))</f>
        <v>m2</v>
      </c>
      <c r="E3710" s="27"/>
      <c r="F3710" s="49" t="s">
        <v>572</v>
      </c>
      <c r="G3710" s="28" t="str">
        <f t="shared" si="63"/>
        <v/>
      </c>
      <c r="H3710" s="29"/>
      <c r="I3710" s="30"/>
      <c r="J3710" s="156">
        <v>0</v>
      </c>
    </row>
    <row r="3711" spans="1:10" ht="15.75" hidden="1" thickBot="1" x14ac:dyDescent="0.3">
      <c r="A3711" s="222"/>
      <c r="B3711" s="225"/>
      <c r="C3711" s="32"/>
      <c r="D3711" s="32"/>
      <c r="E3711" s="33"/>
      <c r="F3711" s="54" t="s">
        <v>572</v>
      </c>
      <c r="G3711" s="54" t="str">
        <f t="shared" si="63"/>
        <v/>
      </c>
      <c r="H3711" s="73"/>
      <c r="I3711" s="74"/>
      <c r="J3711" s="156">
        <v>0</v>
      </c>
    </row>
    <row r="3712" spans="1:10" ht="26.25" hidden="1" thickBot="1" x14ac:dyDescent="0.3">
      <c r="A3712" s="222"/>
      <c r="B3712" s="225"/>
      <c r="C3712" s="36" t="s">
        <v>1187</v>
      </c>
      <c r="D3712" s="36" t="s">
        <v>1053</v>
      </c>
      <c r="E3712" s="37">
        <v>1</v>
      </c>
      <c r="F3712" s="54">
        <v>213.75</v>
      </c>
      <c r="G3712" s="54">
        <f t="shared" si="63"/>
        <v>213.75</v>
      </c>
      <c r="H3712" s="39">
        <f>SUM(G3712:G3713)</f>
        <v>213.75</v>
      </c>
      <c r="I3712" s="40"/>
      <c r="J3712" s="156">
        <v>0</v>
      </c>
    </row>
    <row r="3713" spans="1:10" ht="15.75" hidden="1" thickBot="1" x14ac:dyDescent="0.3">
      <c r="A3713" s="223"/>
      <c r="B3713" s="226"/>
      <c r="C3713" s="55"/>
      <c r="D3713" s="55"/>
      <c r="E3713" s="66"/>
      <c r="F3713" s="76" t="s">
        <v>572</v>
      </c>
      <c r="G3713" s="76" t="str">
        <f t="shared" si="63"/>
        <v/>
      </c>
      <c r="H3713" s="77"/>
      <c r="I3713" s="74"/>
      <c r="J3713" s="156">
        <v>0</v>
      </c>
    </row>
    <row r="3714" spans="1:10" ht="15.75" hidden="1" thickBot="1" x14ac:dyDescent="0.3">
      <c r="A3714" s="221" t="s">
        <v>1188</v>
      </c>
      <c r="B3714" s="224" t="str">
        <f>INDEX(Orçamentária!A:B,MATCH(Composições!A3714,Orçamentária!A:A,0),2)</f>
        <v>Supervisor de Obras e Manutenção – Apoio de campo – Segurança do Trabalho</v>
      </c>
      <c r="C3714" s="41"/>
      <c r="D3714" s="26" t="str">
        <f>TRIM(INDEX(Orçamentária!C:C,MATCH(Composições!A3714,Orçamentária!A:A,0),1))</f>
        <v>Profissional</v>
      </c>
      <c r="E3714" s="27"/>
      <c r="F3714" s="49" t="s">
        <v>572</v>
      </c>
      <c r="G3714" s="28" t="str">
        <f t="shared" si="63"/>
        <v/>
      </c>
      <c r="H3714" s="29"/>
      <c r="I3714" s="30"/>
      <c r="J3714" s="156">
        <v>0</v>
      </c>
    </row>
    <row r="3715" spans="1:10" ht="15.75" hidden="1" thickBot="1" x14ac:dyDescent="0.3">
      <c r="A3715" s="222"/>
      <c r="B3715" s="225"/>
      <c r="C3715" s="32"/>
      <c r="D3715" s="32"/>
      <c r="E3715" s="33"/>
      <c r="F3715" s="54" t="s">
        <v>572</v>
      </c>
      <c r="G3715" s="54" t="str">
        <f t="shared" si="63"/>
        <v/>
      </c>
      <c r="H3715" s="73"/>
      <c r="I3715" s="74"/>
      <c r="J3715" s="156">
        <v>0</v>
      </c>
    </row>
    <row r="3716" spans="1:10" ht="26.25" hidden="1" thickBot="1" x14ac:dyDescent="0.3">
      <c r="A3716" s="222"/>
      <c r="B3716" s="225"/>
      <c r="C3716" s="36" t="s">
        <v>1189</v>
      </c>
      <c r="D3716" s="36" t="s">
        <v>131</v>
      </c>
      <c r="E3716" s="37">
        <f>ROUND(1/(1+72.54%),4)</f>
        <v>0.5796</v>
      </c>
      <c r="F3716" s="54">
        <v>6730.4934999999996</v>
      </c>
      <c r="G3716" s="54">
        <f t="shared" si="63"/>
        <v>3900.9940325999996</v>
      </c>
      <c r="H3716" s="39">
        <f>SUM(G3716:G3719)</f>
        <v>3900.9940325999996</v>
      </c>
      <c r="I3716" s="40"/>
      <c r="J3716" s="156">
        <v>0</v>
      </c>
    </row>
    <row r="3717" spans="1:10" ht="15.75" hidden="1" thickBot="1" x14ac:dyDescent="0.3">
      <c r="A3717" s="222"/>
      <c r="B3717" s="225"/>
      <c r="C3717" s="36"/>
      <c r="D3717" s="36"/>
      <c r="E3717" s="37"/>
      <c r="F3717" s="54" t="s">
        <v>572</v>
      </c>
      <c r="G3717" s="54" t="str">
        <f t="shared" si="63"/>
        <v/>
      </c>
      <c r="H3717" s="73"/>
      <c r="I3717" s="74"/>
      <c r="J3717" s="156">
        <v>0</v>
      </c>
    </row>
    <row r="3718" spans="1:10" ht="26.25" hidden="1" thickBot="1" x14ac:dyDescent="0.3">
      <c r="A3718" s="222"/>
      <c r="B3718" s="225"/>
      <c r="C3718" s="48" t="s">
        <v>838</v>
      </c>
      <c r="D3718" s="36"/>
      <c r="E3718" s="37"/>
      <c r="F3718" s="54" t="s">
        <v>572</v>
      </c>
      <c r="G3718" s="54" t="str">
        <f t="shared" si="63"/>
        <v/>
      </c>
      <c r="H3718" s="73"/>
      <c r="I3718" s="74"/>
      <c r="J3718" s="156">
        <v>0</v>
      </c>
    </row>
    <row r="3719" spans="1:10" ht="15.75" hidden="1" thickBot="1" x14ac:dyDescent="0.3">
      <c r="A3719" s="223"/>
      <c r="B3719" s="226"/>
      <c r="C3719" s="55"/>
      <c r="D3719" s="55"/>
      <c r="E3719" s="66"/>
      <c r="F3719" s="76" t="s">
        <v>572</v>
      </c>
      <c r="G3719" s="76" t="str">
        <f t="shared" si="63"/>
        <v/>
      </c>
      <c r="H3719" s="77"/>
      <c r="I3719" s="74"/>
      <c r="J3719" s="156">
        <v>0</v>
      </c>
    </row>
    <row r="3720" spans="1:10" ht="15.75" hidden="1" thickBot="1" x14ac:dyDescent="0.3">
      <c r="A3720" s="221" t="s">
        <v>1190</v>
      </c>
      <c r="B3720" s="224" t="str">
        <f>INDEX(Orçamentária!A:B,MATCH(Composições!A3720,Orçamentária!A:A,0),2)</f>
        <v xml:space="preserve">Reparo de placas de mármore com adesivo estrutural epóxi branco/transparente </v>
      </c>
      <c r="C3720" s="41"/>
      <c r="D3720" s="26" t="str">
        <f>TRIM(INDEX(Orçamentária!C:C,MATCH(Composições!A3720,Orçamentária!A:A,0),1))</f>
        <v>m2</v>
      </c>
      <c r="E3720" s="27"/>
      <c r="F3720" s="49" t="s">
        <v>572</v>
      </c>
      <c r="G3720" s="28" t="str">
        <f t="shared" si="63"/>
        <v/>
      </c>
      <c r="H3720" s="29"/>
      <c r="I3720" s="30"/>
      <c r="J3720" s="156">
        <v>0</v>
      </c>
    </row>
    <row r="3721" spans="1:10" ht="15.75" hidden="1" thickBot="1" x14ac:dyDescent="0.3">
      <c r="A3721" s="227"/>
      <c r="B3721" s="225"/>
      <c r="C3721" s="32"/>
      <c r="D3721" s="32"/>
      <c r="E3721" s="33"/>
      <c r="F3721" s="54" t="s">
        <v>572</v>
      </c>
      <c r="G3721" s="54" t="str">
        <f t="shared" si="63"/>
        <v/>
      </c>
      <c r="H3721" s="73"/>
      <c r="I3721" s="74"/>
      <c r="J3721" s="156">
        <v>0</v>
      </c>
    </row>
    <row r="3722" spans="1:10" ht="15.75" hidden="1" thickBot="1" x14ac:dyDescent="0.3">
      <c r="A3722" s="227"/>
      <c r="B3722" s="225"/>
      <c r="C3722" s="36" t="s">
        <v>54</v>
      </c>
      <c r="D3722" s="36" t="s">
        <v>12</v>
      </c>
      <c r="E3722" s="37">
        <f>0.5/50</f>
        <v>0.01</v>
      </c>
      <c r="F3722" s="54">
        <v>18.420500000000001</v>
      </c>
      <c r="G3722" s="54">
        <f t="shared" si="63"/>
        <v>0.18420500000000001</v>
      </c>
      <c r="H3722" s="39">
        <f>SUM(G3722:G3723)</f>
        <v>0.18420500000000001</v>
      </c>
      <c r="I3722" s="40"/>
      <c r="J3722" s="156">
        <v>0</v>
      </c>
    </row>
    <row r="3723" spans="1:10" ht="15.75" hidden="1" thickBot="1" x14ac:dyDescent="0.3">
      <c r="A3723" s="227"/>
      <c r="B3723" s="225"/>
      <c r="C3723" s="36" t="s">
        <v>1191</v>
      </c>
      <c r="D3723" s="36" t="s">
        <v>150</v>
      </c>
      <c r="E3723" s="37">
        <f>1/50</f>
        <v>0.02</v>
      </c>
      <c r="F3723" s="54" t="s">
        <v>572</v>
      </c>
      <c r="G3723" s="54" t="str">
        <f t="shared" si="63"/>
        <v/>
      </c>
      <c r="H3723" s="73"/>
      <c r="I3723" s="74"/>
      <c r="J3723" s="156">
        <v>0</v>
      </c>
    </row>
    <row r="3724" spans="1:10" ht="15.75" hidden="1" thickBot="1" x14ac:dyDescent="0.3">
      <c r="A3724" s="228"/>
      <c r="B3724" s="226"/>
      <c r="C3724" s="36"/>
      <c r="D3724" s="36"/>
      <c r="E3724" s="37"/>
      <c r="F3724" s="54" t="s">
        <v>572</v>
      </c>
      <c r="G3724" s="54" t="str">
        <f t="shared" si="63"/>
        <v/>
      </c>
      <c r="H3724" s="73"/>
      <c r="I3724" s="74"/>
      <c r="J3724" s="156">
        <v>0</v>
      </c>
    </row>
    <row r="3725" spans="1:10" ht="15.75" hidden="1" thickBot="1" x14ac:dyDescent="0.3">
      <c r="A3725" s="221" t="s">
        <v>1192</v>
      </c>
      <c r="B3725" s="224" t="str">
        <f>INDEX(Orçamentária!A:B,MATCH(Composições!A3725,Orçamentária!A:A,0),2)</f>
        <v>Perfil de chapa de aço galvanizado para esquadria (Anexo 1)</v>
      </c>
      <c r="C3725" s="41"/>
      <c r="D3725" s="26" t="str">
        <f>TRIM(INDEX(Orçamentária!C:C,MATCH(Composições!A3725,Orçamentária!A:A,0),1))</f>
        <v>m2</v>
      </c>
      <c r="E3725" s="27"/>
      <c r="F3725" s="49" t="s">
        <v>572</v>
      </c>
      <c r="G3725" s="28" t="str">
        <f t="shared" si="63"/>
        <v/>
      </c>
      <c r="H3725" s="29"/>
      <c r="I3725" s="30"/>
      <c r="J3725" s="156">
        <v>0</v>
      </c>
    </row>
    <row r="3726" spans="1:10" ht="15.75" hidden="1" thickBot="1" x14ac:dyDescent="0.3">
      <c r="A3726" s="227"/>
      <c r="B3726" s="225"/>
      <c r="C3726" s="32"/>
      <c r="D3726" s="32"/>
      <c r="E3726" s="33"/>
      <c r="F3726" s="54" t="s">
        <v>572</v>
      </c>
      <c r="G3726" s="54" t="str">
        <f t="shared" si="63"/>
        <v/>
      </c>
      <c r="H3726" s="73"/>
      <c r="I3726" s="74"/>
      <c r="J3726" s="156">
        <v>0</v>
      </c>
    </row>
    <row r="3727" spans="1:10" ht="15.75" hidden="1" thickBot="1" x14ac:dyDescent="0.3">
      <c r="A3727" s="227"/>
      <c r="B3727" s="225"/>
      <c r="C3727" s="36" t="s">
        <v>22</v>
      </c>
      <c r="D3727" s="36" t="s">
        <v>12</v>
      </c>
      <c r="E3727" s="37">
        <v>0.5</v>
      </c>
      <c r="F3727" s="54">
        <v>22.087499999999999</v>
      </c>
      <c r="G3727" s="54">
        <f t="shared" si="63"/>
        <v>11.043749999999999</v>
      </c>
      <c r="H3727" s="39">
        <f>SUM(G3727:G3732)</f>
        <v>30.0528692324798</v>
      </c>
      <c r="I3727" s="40"/>
      <c r="J3727" s="156">
        <v>0</v>
      </c>
    </row>
    <row r="3728" spans="1:10" ht="15.75" hidden="1" thickBot="1" x14ac:dyDescent="0.3">
      <c r="A3728" s="227"/>
      <c r="B3728" s="225"/>
      <c r="C3728" s="36" t="s">
        <v>23</v>
      </c>
      <c r="D3728" s="36" t="s">
        <v>12</v>
      </c>
      <c r="E3728" s="37">
        <v>0.51</v>
      </c>
      <c r="F3728" s="54">
        <v>16.311500000000002</v>
      </c>
      <c r="G3728" s="54">
        <f t="shared" si="63"/>
        <v>8.3188650000000006</v>
      </c>
      <c r="H3728" s="73"/>
      <c r="I3728" s="74"/>
      <c r="J3728" s="156">
        <v>0</v>
      </c>
    </row>
    <row r="3729" spans="1:10" ht="39" hidden="1" thickBot="1" x14ac:dyDescent="0.3">
      <c r="A3729" s="227"/>
      <c r="B3729" s="225"/>
      <c r="C3729" s="36" t="s">
        <v>185</v>
      </c>
      <c r="D3729" s="47" t="s">
        <v>112</v>
      </c>
      <c r="E3729" s="37">
        <v>3.0999999999999999E-3</v>
      </c>
      <c r="F3729" s="54">
        <v>526.33683305799991</v>
      </c>
      <c r="G3729" s="54">
        <f t="shared" si="63"/>
        <v>1.6316441824797996</v>
      </c>
      <c r="H3729" s="73"/>
      <c r="I3729" s="74"/>
      <c r="J3729" s="156">
        <v>0</v>
      </c>
    </row>
    <row r="3730" spans="1:10" ht="15.75" hidden="1" thickBot="1" x14ac:dyDescent="0.3">
      <c r="A3730" s="227"/>
      <c r="B3730" s="225"/>
      <c r="C3730" s="36" t="s">
        <v>1193</v>
      </c>
      <c r="D3730" s="47" t="s">
        <v>94</v>
      </c>
      <c r="E3730" s="37">
        <v>1</v>
      </c>
      <c r="F3730" s="54" t="s">
        <v>572</v>
      </c>
      <c r="G3730" s="54" t="str">
        <f t="shared" ref="G3730:G3793" si="64">IF(ISNUMBER(F3730),E3730*F3730,"")</f>
        <v/>
      </c>
      <c r="H3730" s="73"/>
      <c r="I3730" s="74"/>
      <c r="J3730" s="156">
        <v>0</v>
      </c>
    </row>
    <row r="3731" spans="1:10" ht="15.75" hidden="1" thickBot="1" x14ac:dyDescent="0.3">
      <c r="A3731" s="227"/>
      <c r="B3731" s="225"/>
      <c r="C3731" s="36" t="s">
        <v>23</v>
      </c>
      <c r="D3731" s="36" t="s">
        <v>12</v>
      </c>
      <c r="E3731" s="37">
        <v>0.15</v>
      </c>
      <c r="F3731" s="54">
        <v>16.311500000000002</v>
      </c>
      <c r="G3731" s="54">
        <f t="shared" si="64"/>
        <v>2.4467250000000003</v>
      </c>
      <c r="H3731" s="73"/>
      <c r="I3731" s="74"/>
      <c r="J3731" s="156">
        <v>0</v>
      </c>
    </row>
    <row r="3732" spans="1:10" ht="15.75" hidden="1" thickBot="1" x14ac:dyDescent="0.3">
      <c r="A3732" s="227"/>
      <c r="B3732" s="225"/>
      <c r="C3732" s="36" t="s">
        <v>1194</v>
      </c>
      <c r="D3732" s="36" t="s">
        <v>299</v>
      </c>
      <c r="E3732" s="37">
        <f>ROUND(0.1/0.28,4)</f>
        <v>0.35709999999999997</v>
      </c>
      <c r="F3732" s="54">
        <v>18.515499999999999</v>
      </c>
      <c r="G3732" s="54">
        <f t="shared" si="64"/>
        <v>6.6118850499999997</v>
      </c>
      <c r="H3732" s="73"/>
      <c r="I3732" s="74"/>
      <c r="J3732" s="156">
        <v>0</v>
      </c>
    </row>
    <row r="3733" spans="1:10" ht="15.75" hidden="1" thickBot="1" x14ac:dyDescent="0.3">
      <c r="A3733" s="227"/>
      <c r="B3733" s="225"/>
      <c r="C3733" s="36"/>
      <c r="D3733" s="47"/>
      <c r="E3733" s="37"/>
      <c r="F3733" s="54" t="s">
        <v>572</v>
      </c>
      <c r="G3733" s="54" t="str">
        <f t="shared" si="64"/>
        <v/>
      </c>
      <c r="H3733" s="73"/>
      <c r="I3733" s="74"/>
      <c r="J3733" s="156">
        <v>0</v>
      </c>
    </row>
    <row r="3734" spans="1:10" ht="15.75" hidden="1" thickBot="1" x14ac:dyDescent="0.3">
      <c r="A3734" s="227"/>
      <c r="B3734" s="225"/>
      <c r="C3734" s="153" t="s">
        <v>1195</v>
      </c>
      <c r="D3734" s="47"/>
      <c r="E3734" s="37"/>
      <c r="F3734" s="54" t="s">
        <v>572</v>
      </c>
      <c r="G3734" s="54" t="str">
        <f t="shared" si="64"/>
        <v/>
      </c>
      <c r="H3734" s="73"/>
      <c r="I3734" s="74"/>
      <c r="J3734" s="156">
        <v>0</v>
      </c>
    </row>
    <row r="3735" spans="1:10" ht="15.75" hidden="1" thickBot="1" x14ac:dyDescent="0.3">
      <c r="A3735" s="227"/>
      <c r="B3735" s="225"/>
      <c r="C3735" s="55"/>
      <c r="D3735" s="55"/>
      <c r="E3735" s="66"/>
      <c r="F3735" s="76" t="s">
        <v>572</v>
      </c>
      <c r="G3735" s="76" t="str">
        <f t="shared" si="64"/>
        <v/>
      </c>
      <c r="H3735" s="77"/>
      <c r="I3735" s="74"/>
      <c r="J3735" s="156">
        <v>0</v>
      </c>
    </row>
    <row r="3736" spans="1:10" ht="15.75" hidden="1" thickBot="1" x14ac:dyDescent="0.3">
      <c r="A3736" s="221" t="s">
        <v>1196</v>
      </c>
      <c r="B3736" s="224" t="str">
        <f>INDEX(Orçamentária!A:B,MATCH(Composições!A3736,Orçamentária!A:A,0),2)</f>
        <v>Granito Vermelho Brasília 20 mm para bancadas</v>
      </c>
      <c r="C3736" s="41"/>
      <c r="D3736" s="26" t="str">
        <f>TRIM(INDEX(Orçamentária!C:C,MATCH(Composições!A3736,Orçamentária!A:A,0),1))</f>
        <v>m2</v>
      </c>
      <c r="E3736" s="27"/>
      <c r="F3736" s="49" t="s">
        <v>572</v>
      </c>
      <c r="G3736" s="28" t="str">
        <f t="shared" si="64"/>
        <v/>
      </c>
      <c r="H3736" s="29"/>
      <c r="I3736" s="30"/>
      <c r="J3736" s="156">
        <v>0</v>
      </c>
    </row>
    <row r="3737" spans="1:10" ht="15.75" hidden="1" thickBot="1" x14ac:dyDescent="0.3">
      <c r="A3737" s="227"/>
      <c r="B3737" s="225"/>
      <c r="C3737" s="32"/>
      <c r="D3737" s="32"/>
      <c r="E3737" s="33"/>
      <c r="F3737" s="54" t="s">
        <v>572</v>
      </c>
      <c r="G3737" s="54" t="str">
        <f t="shared" si="64"/>
        <v/>
      </c>
      <c r="H3737" s="73"/>
      <c r="I3737" s="74"/>
      <c r="J3737" s="156">
        <v>0</v>
      </c>
    </row>
    <row r="3738" spans="1:10" ht="15.75" hidden="1" thickBot="1" x14ac:dyDescent="0.3">
      <c r="A3738" s="227"/>
      <c r="B3738" s="225"/>
      <c r="C3738" s="36" t="s">
        <v>3466</v>
      </c>
      <c r="D3738" s="36" t="s">
        <v>957</v>
      </c>
      <c r="E3738" s="37">
        <f>ROUND(0.5228/(1.5*0.6),4)</f>
        <v>0.58089999999999997</v>
      </c>
      <c r="F3738" s="54">
        <v>26.685499999999998</v>
      </c>
      <c r="G3738" s="54">
        <f t="shared" si="64"/>
        <v>15.501606949999998</v>
      </c>
      <c r="H3738" s="39">
        <f>SUM(G3738:G3744)</f>
        <v>116.27835554999999</v>
      </c>
      <c r="I3738" s="40"/>
      <c r="J3738" s="156">
        <v>0</v>
      </c>
    </row>
    <row r="3739" spans="1:10" ht="39" hidden="1" thickBot="1" x14ac:dyDescent="0.3">
      <c r="A3739" s="227"/>
      <c r="B3739" s="225"/>
      <c r="C3739" s="36" t="s">
        <v>1199</v>
      </c>
      <c r="D3739" s="36" t="s">
        <v>299</v>
      </c>
      <c r="E3739" s="37">
        <f>ROUND(6/(1.5*0.6),4)</f>
        <v>6.6666999999999996</v>
      </c>
      <c r="F3739" s="54">
        <v>0.75049999999999994</v>
      </c>
      <c r="G3739" s="54">
        <f t="shared" si="64"/>
        <v>5.0033583499999992</v>
      </c>
      <c r="H3739" s="73"/>
      <c r="I3739" s="74"/>
      <c r="J3739" s="156">
        <v>0</v>
      </c>
    </row>
    <row r="3740" spans="1:10" ht="26.25" hidden="1" thickBot="1" x14ac:dyDescent="0.3">
      <c r="A3740" s="227"/>
      <c r="B3740" s="225"/>
      <c r="C3740" s="36" t="s">
        <v>1197</v>
      </c>
      <c r="D3740" s="36" t="s">
        <v>1053</v>
      </c>
      <c r="E3740" s="37">
        <f>ROUND(1.005/(1.5*0.6),4)</f>
        <v>1.1167</v>
      </c>
      <c r="F3740" s="54" t="s">
        <v>572</v>
      </c>
      <c r="G3740" s="54" t="str">
        <f t="shared" si="64"/>
        <v/>
      </c>
      <c r="H3740" s="73"/>
      <c r="I3740" s="74"/>
      <c r="J3740" s="156">
        <v>0</v>
      </c>
    </row>
    <row r="3741" spans="1:10" ht="15.75" hidden="1" thickBot="1" x14ac:dyDescent="0.3">
      <c r="A3741" s="227"/>
      <c r="B3741" s="225"/>
      <c r="C3741" s="36" t="s">
        <v>3610</v>
      </c>
      <c r="D3741" s="36" t="s">
        <v>957</v>
      </c>
      <c r="E3741" s="37">
        <f>ROUND(0.0211/(1.5*0.6),4)</f>
        <v>2.3400000000000001E-2</v>
      </c>
      <c r="F3741" s="54">
        <v>52.8675</v>
      </c>
      <c r="G3741" s="54">
        <f t="shared" si="64"/>
        <v>1.2370995</v>
      </c>
      <c r="H3741" s="73"/>
      <c r="I3741" s="74"/>
      <c r="J3741" s="156">
        <v>0</v>
      </c>
    </row>
    <row r="3742" spans="1:10" ht="26.25" hidden="1" thickBot="1" x14ac:dyDescent="0.3">
      <c r="A3742" s="227"/>
      <c r="B3742" s="225"/>
      <c r="C3742" s="36" t="s">
        <v>3474</v>
      </c>
      <c r="D3742" s="36" t="s">
        <v>299</v>
      </c>
      <c r="E3742" s="37">
        <f>ROUND(2/(1.5*0.6),4)</f>
        <v>2.2222</v>
      </c>
      <c r="F3742" s="54">
        <v>20.7575</v>
      </c>
      <c r="G3742" s="54">
        <f t="shared" si="64"/>
        <v>46.127316499999999</v>
      </c>
      <c r="H3742" s="73"/>
      <c r="I3742" s="74"/>
      <c r="J3742" s="156">
        <v>0</v>
      </c>
    </row>
    <row r="3743" spans="1:10" ht="15.75" hidden="1" thickBot="1" x14ac:dyDescent="0.3">
      <c r="A3743" s="227"/>
      <c r="B3743" s="225"/>
      <c r="C3743" s="36" t="s">
        <v>3436</v>
      </c>
      <c r="D3743" s="36" t="s">
        <v>759</v>
      </c>
      <c r="E3743" s="37">
        <f>ROUND(1.4944/(1.5*0.6),4)</f>
        <v>1.6604000000000001</v>
      </c>
      <c r="F3743" s="54">
        <v>18.420500000000001</v>
      </c>
      <c r="G3743" s="54">
        <f t="shared" si="64"/>
        <v>30.585398200000004</v>
      </c>
      <c r="H3743" s="73"/>
      <c r="I3743" s="74"/>
      <c r="J3743" s="156">
        <v>0</v>
      </c>
    </row>
    <row r="3744" spans="1:10" ht="15.75" hidden="1" thickBot="1" x14ac:dyDescent="0.3">
      <c r="A3744" s="227"/>
      <c r="B3744" s="225"/>
      <c r="C3744" s="36" t="s">
        <v>760</v>
      </c>
      <c r="D3744" s="36" t="s">
        <v>759</v>
      </c>
      <c r="E3744" s="37">
        <f>ROUND(0.9834/(1.5*0.6),4)</f>
        <v>1.0927</v>
      </c>
      <c r="F3744" s="54">
        <v>16.311500000000002</v>
      </c>
      <c r="G3744" s="54">
        <f t="shared" si="64"/>
        <v>17.823576050000003</v>
      </c>
      <c r="H3744" s="73"/>
      <c r="I3744" s="74"/>
      <c r="J3744" s="156">
        <v>0</v>
      </c>
    </row>
    <row r="3745" spans="1:10" ht="15.75" hidden="1" thickBot="1" x14ac:dyDescent="0.3">
      <c r="A3745" s="227"/>
      <c r="B3745" s="225"/>
      <c r="C3745" s="36"/>
      <c r="D3745" s="36"/>
      <c r="E3745" s="37"/>
      <c r="F3745" s="54" t="s">
        <v>572</v>
      </c>
      <c r="G3745" s="54" t="str">
        <f t="shared" si="64"/>
        <v/>
      </c>
      <c r="H3745" s="73"/>
      <c r="I3745" s="74"/>
      <c r="J3745" s="156">
        <v>0</v>
      </c>
    </row>
    <row r="3746" spans="1:10" ht="15.75" hidden="1" thickBot="1" x14ac:dyDescent="0.3">
      <c r="A3746" s="221" t="s">
        <v>1198</v>
      </c>
      <c r="B3746" s="224" t="str">
        <f>INDEX(Orçamentária!A:B,MATCH(Composições!A3746,Orçamentária!A:A,0),2)</f>
        <v>Porta em alumínio tipo veneziana</v>
      </c>
      <c r="C3746" s="41"/>
      <c r="D3746" s="26" t="str">
        <f>TRIM(INDEX(Orçamentária!C:C,MATCH(Composições!A3746,Orçamentária!A:A,0),1))</f>
        <v>m2</v>
      </c>
      <c r="E3746" s="27"/>
      <c r="F3746" s="49" t="s">
        <v>572</v>
      </c>
      <c r="G3746" s="28" t="str">
        <f t="shared" si="64"/>
        <v/>
      </c>
      <c r="H3746" s="29"/>
      <c r="I3746" s="30"/>
      <c r="J3746" s="156">
        <v>0</v>
      </c>
    </row>
    <row r="3747" spans="1:10" ht="15.75" hidden="1" thickBot="1" x14ac:dyDescent="0.3">
      <c r="A3747" s="227"/>
      <c r="B3747" s="225"/>
      <c r="C3747" s="32"/>
      <c r="D3747" s="32"/>
      <c r="E3747" s="33"/>
      <c r="F3747" s="54" t="s">
        <v>572</v>
      </c>
      <c r="G3747" s="54" t="str">
        <f t="shared" si="64"/>
        <v/>
      </c>
      <c r="H3747" s="73"/>
      <c r="I3747" s="74"/>
      <c r="J3747" s="156">
        <v>0</v>
      </c>
    </row>
    <row r="3748" spans="1:10" ht="26.25" hidden="1" thickBot="1" x14ac:dyDescent="0.3">
      <c r="A3748" s="227"/>
      <c r="B3748" s="225"/>
      <c r="C3748" s="36" t="s">
        <v>1124</v>
      </c>
      <c r="D3748" s="47" t="s">
        <v>1135</v>
      </c>
      <c r="E3748" s="37">
        <v>0.88290000000000002</v>
      </c>
      <c r="F3748" s="54">
        <v>28.015499999999996</v>
      </c>
      <c r="G3748" s="54">
        <f t="shared" si="64"/>
        <v>24.734884949999998</v>
      </c>
      <c r="H3748" s="39">
        <f>SUM(G3748:G3753)</f>
        <v>473.70044274999992</v>
      </c>
      <c r="I3748" s="40"/>
      <c r="J3748" s="156">
        <v>0</v>
      </c>
    </row>
    <row r="3749" spans="1:10" ht="39" hidden="1" thickBot="1" x14ac:dyDescent="0.3">
      <c r="A3749" s="227"/>
      <c r="B3749" s="225"/>
      <c r="C3749" s="36" t="s">
        <v>1199</v>
      </c>
      <c r="D3749" s="47" t="s">
        <v>299</v>
      </c>
      <c r="E3749" s="37">
        <v>4.8166000000000002</v>
      </c>
      <c r="F3749" s="54">
        <v>0.75049999999999994</v>
      </c>
      <c r="G3749" s="54">
        <f t="shared" si="64"/>
        <v>3.6148582999999999</v>
      </c>
      <c r="H3749" s="73"/>
      <c r="I3749" s="74"/>
      <c r="J3749" s="156">
        <v>0</v>
      </c>
    </row>
    <row r="3750" spans="1:10" ht="26.25" hidden="1" thickBot="1" x14ac:dyDescent="0.3">
      <c r="A3750" s="227"/>
      <c r="B3750" s="225"/>
      <c r="C3750" s="36" t="s">
        <v>1200</v>
      </c>
      <c r="D3750" s="36" t="s">
        <v>527</v>
      </c>
      <c r="E3750" s="37">
        <v>6.8503999999999996</v>
      </c>
      <c r="F3750" s="54">
        <v>8.5404999999999998</v>
      </c>
      <c r="G3750" s="54">
        <f t="shared" si="64"/>
        <v>58.505841199999992</v>
      </c>
      <c r="H3750" s="73"/>
      <c r="I3750" s="74"/>
      <c r="J3750" s="156">
        <v>0</v>
      </c>
    </row>
    <row r="3751" spans="1:10" ht="26.25" hidden="1" thickBot="1" x14ac:dyDescent="0.3">
      <c r="A3751" s="227"/>
      <c r="B3751" s="225"/>
      <c r="C3751" s="36" t="s">
        <v>1201</v>
      </c>
      <c r="D3751" s="36" t="s">
        <v>299</v>
      </c>
      <c r="E3751" s="37">
        <v>0.54730000000000001</v>
      </c>
      <c r="F3751" s="54">
        <v>685.69099999999992</v>
      </c>
      <c r="G3751" s="54">
        <f t="shared" si="64"/>
        <v>375.27868429999995</v>
      </c>
      <c r="H3751" s="73"/>
      <c r="I3751" s="74"/>
      <c r="J3751" s="156">
        <v>0</v>
      </c>
    </row>
    <row r="3752" spans="1:10" ht="15.75" hidden="1" thickBot="1" x14ac:dyDescent="0.3">
      <c r="A3752" s="227"/>
      <c r="B3752" s="225"/>
      <c r="C3752" s="36" t="s">
        <v>1202</v>
      </c>
      <c r="D3752" s="47" t="s">
        <v>759</v>
      </c>
      <c r="E3752" s="37">
        <v>0.3826</v>
      </c>
      <c r="F3752" s="54">
        <v>22.087499999999999</v>
      </c>
      <c r="G3752" s="54">
        <f t="shared" si="64"/>
        <v>8.4506774999999994</v>
      </c>
      <c r="H3752" s="73"/>
      <c r="I3752" s="74"/>
      <c r="J3752" s="156">
        <v>0</v>
      </c>
    </row>
    <row r="3753" spans="1:10" ht="15.75" hidden="1" thickBot="1" x14ac:dyDescent="0.3">
      <c r="A3753" s="227"/>
      <c r="B3753" s="225"/>
      <c r="C3753" s="36" t="s">
        <v>23</v>
      </c>
      <c r="D3753" s="47" t="s">
        <v>759</v>
      </c>
      <c r="E3753" s="37">
        <v>0.191</v>
      </c>
      <c r="F3753" s="54">
        <v>16.311500000000002</v>
      </c>
      <c r="G3753" s="54">
        <f t="shared" si="64"/>
        <v>3.1154965000000003</v>
      </c>
      <c r="H3753" s="73"/>
      <c r="I3753" s="74"/>
      <c r="J3753" s="156">
        <v>0</v>
      </c>
    </row>
    <row r="3754" spans="1:10" ht="15.75" hidden="1" thickBot="1" x14ac:dyDescent="0.3">
      <c r="A3754" s="227"/>
      <c r="B3754" s="225"/>
      <c r="C3754" s="36"/>
      <c r="D3754" s="47"/>
      <c r="E3754" s="37"/>
      <c r="F3754" s="54" t="s">
        <v>572</v>
      </c>
      <c r="G3754" s="54" t="str">
        <f t="shared" si="64"/>
        <v/>
      </c>
      <c r="H3754" s="73"/>
      <c r="I3754" s="74"/>
      <c r="J3754" s="156">
        <v>0</v>
      </c>
    </row>
    <row r="3755" spans="1:10" ht="15.75" hidden="1" thickBot="1" x14ac:dyDescent="0.3">
      <c r="A3755" s="221" t="s">
        <v>1203</v>
      </c>
      <c r="B3755" s="224" t="str">
        <f>INDEX(Orçamentária!A:B,MATCH(Composições!A3755,Orçamentária!A:A,0),2)</f>
        <v>Janela em alumínio, duas seções, 120x60cm</v>
      </c>
      <c r="C3755" s="41"/>
      <c r="D3755" s="26" t="str">
        <f>TRIM(INDEX(Orçamentária!C:C,MATCH(Composições!A3755,Orçamentária!A:A,0),1))</f>
        <v>m2</v>
      </c>
      <c r="E3755" s="27"/>
      <c r="F3755" s="49" t="s">
        <v>572</v>
      </c>
      <c r="G3755" s="28" t="str">
        <f t="shared" si="64"/>
        <v/>
      </c>
      <c r="H3755" s="29"/>
      <c r="I3755" s="30"/>
      <c r="J3755" s="156">
        <v>0</v>
      </c>
    </row>
    <row r="3756" spans="1:10" ht="15.75" hidden="1" thickBot="1" x14ac:dyDescent="0.3">
      <c r="A3756" s="227"/>
      <c r="B3756" s="225"/>
      <c r="C3756" s="32"/>
      <c r="D3756" s="32"/>
      <c r="E3756" s="33"/>
      <c r="F3756" s="54" t="s">
        <v>572</v>
      </c>
      <c r="G3756" s="54" t="str">
        <f t="shared" si="64"/>
        <v/>
      </c>
      <c r="H3756" s="73"/>
      <c r="I3756" s="74"/>
      <c r="J3756" s="156">
        <v>0</v>
      </c>
    </row>
    <row r="3757" spans="1:10" ht="39" hidden="1" thickBot="1" x14ac:dyDescent="0.3">
      <c r="A3757" s="227"/>
      <c r="B3757" s="225"/>
      <c r="C3757" s="36" t="s">
        <v>1204</v>
      </c>
      <c r="D3757" s="47" t="s">
        <v>1053</v>
      </c>
      <c r="E3757" s="37">
        <v>1</v>
      </c>
      <c r="F3757" s="54" t="s">
        <v>572</v>
      </c>
      <c r="G3757" s="54" t="str">
        <f t="shared" si="64"/>
        <v/>
      </c>
      <c r="H3757" s="39">
        <f>SUM(G3757:G3761)</f>
        <v>76.786545849999996</v>
      </c>
      <c r="I3757" s="40"/>
      <c r="J3757" s="156">
        <v>0</v>
      </c>
    </row>
    <row r="3758" spans="1:10" ht="39" hidden="1" thickBot="1" x14ac:dyDescent="0.3">
      <c r="A3758" s="227"/>
      <c r="B3758" s="225"/>
      <c r="C3758" s="36" t="s">
        <v>1205</v>
      </c>
      <c r="D3758" s="47" t="s">
        <v>299</v>
      </c>
      <c r="E3758" s="37">
        <v>24.4</v>
      </c>
      <c r="F3758" s="54">
        <v>8.5499999999999993E-2</v>
      </c>
      <c r="G3758" s="54">
        <f t="shared" si="64"/>
        <v>2.0861999999999998</v>
      </c>
      <c r="H3758" s="73"/>
      <c r="I3758" s="74"/>
      <c r="J3758" s="156">
        <v>0</v>
      </c>
    </row>
    <row r="3759" spans="1:10" ht="15.75" hidden="1" thickBot="1" x14ac:dyDescent="0.3">
      <c r="A3759" s="227"/>
      <c r="B3759" s="225"/>
      <c r="C3759" s="36" t="s">
        <v>1194</v>
      </c>
      <c r="D3759" s="36" t="s">
        <v>299</v>
      </c>
      <c r="E3759" s="37">
        <v>1.2466999999999999</v>
      </c>
      <c r="F3759" s="54">
        <v>18.515499999999999</v>
      </c>
      <c r="G3759" s="54">
        <f t="shared" si="64"/>
        <v>23.083273849999998</v>
      </c>
      <c r="H3759" s="73"/>
      <c r="I3759" s="74"/>
      <c r="J3759" s="156">
        <v>0</v>
      </c>
    </row>
    <row r="3760" spans="1:10" ht="15.75" hidden="1" thickBot="1" x14ac:dyDescent="0.3">
      <c r="A3760" s="227"/>
      <c r="B3760" s="225"/>
      <c r="C3760" s="36" t="s">
        <v>768</v>
      </c>
      <c r="D3760" s="36" t="s">
        <v>759</v>
      </c>
      <c r="E3760" s="37">
        <v>1.7070000000000001</v>
      </c>
      <c r="F3760" s="54">
        <v>22.087499999999999</v>
      </c>
      <c r="G3760" s="54">
        <f t="shared" si="64"/>
        <v>37.703362499999997</v>
      </c>
      <c r="H3760" s="73"/>
      <c r="I3760" s="74"/>
      <c r="J3760" s="156">
        <v>0</v>
      </c>
    </row>
    <row r="3761" spans="1:10" ht="15.75" hidden="1" thickBot="1" x14ac:dyDescent="0.3">
      <c r="A3761" s="227"/>
      <c r="B3761" s="225"/>
      <c r="C3761" s="36" t="s">
        <v>760</v>
      </c>
      <c r="D3761" s="47" t="s">
        <v>759</v>
      </c>
      <c r="E3761" s="37">
        <v>0.85299999999999998</v>
      </c>
      <c r="F3761" s="54">
        <v>16.311500000000002</v>
      </c>
      <c r="G3761" s="54">
        <f t="shared" si="64"/>
        <v>13.913709500000001</v>
      </c>
      <c r="H3761" s="73"/>
      <c r="I3761" s="74"/>
      <c r="J3761" s="156">
        <v>0</v>
      </c>
    </row>
    <row r="3762" spans="1:10" ht="15.75" hidden="1" thickBot="1" x14ac:dyDescent="0.3">
      <c r="A3762" s="227"/>
      <c r="B3762" s="225"/>
      <c r="C3762" s="36"/>
      <c r="D3762" s="47"/>
      <c r="E3762" s="37"/>
      <c r="F3762" s="54" t="s">
        <v>572</v>
      </c>
      <c r="G3762" s="54" t="str">
        <f t="shared" si="64"/>
        <v/>
      </c>
      <c r="H3762" s="73"/>
      <c r="I3762" s="74"/>
      <c r="J3762" s="156">
        <v>0</v>
      </c>
    </row>
    <row r="3763" spans="1:10" ht="15.75" hidden="1" thickBot="1" x14ac:dyDescent="0.3">
      <c r="A3763" s="221" t="s">
        <v>1206</v>
      </c>
      <c r="B3763" s="224" t="str">
        <f>INDEX(Orçamentária!A:B,MATCH(Composições!A3763,Orçamentária!A:A,0),2)</f>
        <v>Porta metálica de enrolar</v>
      </c>
      <c r="C3763" s="41"/>
      <c r="D3763" s="26" t="str">
        <f>TRIM(INDEX(Orçamentária!C:C,MATCH(Composições!A3763,Orçamentária!A:A,0),1))</f>
        <v>m2</v>
      </c>
      <c r="E3763" s="27"/>
      <c r="F3763" s="49" t="s">
        <v>572</v>
      </c>
      <c r="G3763" s="28" t="str">
        <f t="shared" si="64"/>
        <v/>
      </c>
      <c r="H3763" s="29"/>
      <c r="I3763" s="30"/>
      <c r="J3763" s="156">
        <v>0</v>
      </c>
    </row>
    <row r="3764" spans="1:10" ht="15.75" hidden="1" thickBot="1" x14ac:dyDescent="0.3">
      <c r="A3764" s="227"/>
      <c r="B3764" s="225"/>
      <c r="C3764" s="32"/>
      <c r="D3764" s="32"/>
      <c r="E3764" s="33"/>
      <c r="F3764" s="54" t="s">
        <v>572</v>
      </c>
      <c r="G3764" s="54" t="str">
        <f t="shared" si="64"/>
        <v/>
      </c>
      <c r="H3764" s="73"/>
      <c r="I3764" s="74"/>
      <c r="J3764" s="156">
        <v>0</v>
      </c>
    </row>
    <row r="3765" spans="1:10" ht="39" hidden="1" thickBot="1" x14ac:dyDescent="0.3">
      <c r="A3765" s="227"/>
      <c r="B3765" s="225"/>
      <c r="C3765" s="36" t="s">
        <v>1207</v>
      </c>
      <c r="D3765" s="47" t="s">
        <v>1053</v>
      </c>
      <c r="E3765" s="37">
        <v>1</v>
      </c>
      <c r="F3765" s="54">
        <v>346.06599999999997</v>
      </c>
      <c r="G3765" s="54">
        <f t="shared" si="64"/>
        <v>346.06599999999997</v>
      </c>
      <c r="H3765" s="39">
        <f>SUM(G3765:G3771)</f>
        <v>389.99683247914999</v>
      </c>
      <c r="I3765" s="40"/>
      <c r="J3765" s="156">
        <v>0</v>
      </c>
    </row>
    <row r="3766" spans="1:10" ht="15.75" hidden="1" thickBot="1" x14ac:dyDescent="0.3">
      <c r="A3766" s="227"/>
      <c r="B3766" s="225"/>
      <c r="C3766" s="36" t="s">
        <v>768</v>
      </c>
      <c r="D3766" s="47" t="s">
        <v>759</v>
      </c>
      <c r="E3766" s="37">
        <v>1</v>
      </c>
      <c r="F3766" s="54">
        <v>22.087499999999999</v>
      </c>
      <c r="G3766" s="54">
        <f t="shared" si="64"/>
        <v>22.087499999999999</v>
      </c>
      <c r="H3766" s="73"/>
      <c r="I3766" s="74"/>
      <c r="J3766" s="156">
        <v>0</v>
      </c>
    </row>
    <row r="3767" spans="1:10" ht="15.75" hidden="1" thickBot="1" x14ac:dyDescent="0.3">
      <c r="A3767" s="227"/>
      <c r="B3767" s="225"/>
      <c r="C3767" s="36" t="s">
        <v>760</v>
      </c>
      <c r="D3767" s="36" t="s">
        <v>759</v>
      </c>
      <c r="E3767" s="37">
        <v>1.1000000000000001</v>
      </c>
      <c r="F3767" s="54">
        <v>16.311500000000002</v>
      </c>
      <c r="G3767" s="54">
        <f t="shared" si="64"/>
        <v>17.942650000000004</v>
      </c>
      <c r="H3767" s="73"/>
      <c r="I3767" s="74"/>
      <c r="J3767" s="156">
        <v>0</v>
      </c>
    </row>
    <row r="3768" spans="1:10" ht="26.25" hidden="1" thickBot="1" x14ac:dyDescent="0.3">
      <c r="A3768" s="227"/>
      <c r="B3768" s="225"/>
      <c r="C3768" s="36" t="s">
        <v>809</v>
      </c>
      <c r="D3768" s="47" t="s">
        <v>124</v>
      </c>
      <c r="E3768" s="37">
        <v>1.2999999999999999E-2</v>
      </c>
      <c r="F3768" s="54">
        <v>90.25</v>
      </c>
      <c r="G3768" s="54">
        <f t="shared" si="64"/>
        <v>1.1732499999999999</v>
      </c>
      <c r="H3768" s="73"/>
      <c r="I3768" s="74"/>
      <c r="J3768" s="156">
        <v>0</v>
      </c>
    </row>
    <row r="3769" spans="1:10" ht="15.75" hidden="1" thickBot="1" x14ac:dyDescent="0.3">
      <c r="A3769" s="227"/>
      <c r="B3769" s="225"/>
      <c r="C3769" s="36" t="s">
        <v>805</v>
      </c>
      <c r="D3769" s="47" t="s">
        <v>957</v>
      </c>
      <c r="E3769" s="37">
        <v>4.58</v>
      </c>
      <c r="F3769" s="54">
        <v>0.47499999999999998</v>
      </c>
      <c r="G3769" s="54">
        <f t="shared" si="64"/>
        <v>2.1755</v>
      </c>
      <c r="H3769" s="73"/>
      <c r="I3769" s="74"/>
      <c r="J3769" s="156">
        <v>0</v>
      </c>
    </row>
    <row r="3770" spans="1:10" ht="51.75" hidden="1" thickBot="1" x14ac:dyDescent="0.3">
      <c r="A3770" s="227"/>
      <c r="B3770" s="225"/>
      <c r="C3770" s="36" t="s">
        <v>3619</v>
      </c>
      <c r="D3770" s="36" t="s">
        <v>112</v>
      </c>
      <c r="E3770" s="37">
        <f>1*E3768</f>
        <v>1.2999999999999999E-2</v>
      </c>
      <c r="F3770" s="34">
        <v>5.5686425499999999</v>
      </c>
      <c r="G3770" s="34">
        <f t="shared" si="64"/>
        <v>7.2392353149999991E-2</v>
      </c>
      <c r="H3770" s="35"/>
      <c r="I3770" s="31"/>
      <c r="J3770" s="156">
        <v>0</v>
      </c>
    </row>
    <row r="3771" spans="1:10" ht="39" hidden="1" thickBot="1" x14ac:dyDescent="0.3">
      <c r="A3771" s="227"/>
      <c r="B3771" s="225"/>
      <c r="C3771" s="36" t="s">
        <v>125</v>
      </c>
      <c r="D3771" s="47" t="s">
        <v>126</v>
      </c>
      <c r="E3771" s="37">
        <f>E3768*20</f>
        <v>0.26</v>
      </c>
      <c r="F3771" s="54">
        <v>1.8443850999999998</v>
      </c>
      <c r="G3771" s="54">
        <f t="shared" si="64"/>
        <v>0.47954012599999996</v>
      </c>
      <c r="H3771" s="73"/>
      <c r="I3771" s="74"/>
      <c r="J3771" s="156">
        <v>0</v>
      </c>
    </row>
    <row r="3772" spans="1:10" ht="15.75" hidden="1" thickBot="1" x14ac:dyDescent="0.3">
      <c r="A3772" s="227"/>
      <c r="B3772" s="225"/>
      <c r="C3772" s="51"/>
      <c r="D3772" s="47"/>
      <c r="E3772" s="37"/>
      <c r="F3772" s="54" t="s">
        <v>572</v>
      </c>
      <c r="G3772" s="54" t="str">
        <f t="shared" si="64"/>
        <v/>
      </c>
      <c r="H3772" s="73"/>
      <c r="I3772" s="74"/>
      <c r="J3772" s="156">
        <v>0</v>
      </c>
    </row>
    <row r="3773" spans="1:10" ht="15.75" hidden="1" thickBot="1" x14ac:dyDescent="0.3">
      <c r="A3773" s="227"/>
      <c r="B3773" s="225"/>
      <c r="C3773" s="48" t="s">
        <v>812</v>
      </c>
      <c r="D3773" s="47"/>
      <c r="E3773" s="37"/>
      <c r="F3773" s="54" t="s">
        <v>572</v>
      </c>
      <c r="G3773" s="54" t="str">
        <f t="shared" si="64"/>
        <v/>
      </c>
      <c r="H3773" s="73"/>
      <c r="I3773" s="74"/>
      <c r="J3773" s="156">
        <v>0</v>
      </c>
    </row>
    <row r="3774" spans="1:10" ht="15.75" hidden="1" thickBot="1" x14ac:dyDescent="0.3">
      <c r="A3774" s="228"/>
      <c r="B3774" s="226"/>
      <c r="C3774" s="48"/>
      <c r="D3774" s="47"/>
      <c r="E3774" s="37"/>
      <c r="F3774" s="54" t="s">
        <v>572</v>
      </c>
      <c r="G3774" s="54" t="str">
        <f t="shared" si="64"/>
        <v/>
      </c>
      <c r="H3774" s="73"/>
      <c r="I3774" s="74"/>
      <c r="J3774" s="156">
        <v>0</v>
      </c>
    </row>
    <row r="3775" spans="1:10" ht="15.75" hidden="1" thickBot="1" x14ac:dyDescent="0.3">
      <c r="A3775" s="221" t="s">
        <v>1208</v>
      </c>
      <c r="B3775" s="224" t="str">
        <f>INDEX(Orçamentária!A:B,MATCH(Composições!A3775,Orçamentária!A:A,0),2)</f>
        <v>Medidor de Gás</v>
      </c>
      <c r="C3775" s="41"/>
      <c r="D3775" s="26" t="str">
        <f>TRIM(INDEX(Orçamentária!C:C,MATCH(Composições!A3775,Orçamentária!A:A,0),1))</f>
        <v>un</v>
      </c>
      <c r="E3775" s="27"/>
      <c r="F3775" s="49" t="s">
        <v>572</v>
      </c>
      <c r="G3775" s="28" t="str">
        <f t="shared" si="64"/>
        <v/>
      </c>
      <c r="H3775" s="29"/>
      <c r="I3775" s="30"/>
      <c r="J3775" s="156">
        <v>0</v>
      </c>
    </row>
    <row r="3776" spans="1:10" ht="15.75" hidden="1" thickBot="1" x14ac:dyDescent="0.3">
      <c r="A3776" s="227"/>
      <c r="B3776" s="225"/>
      <c r="C3776" s="32"/>
      <c r="D3776" s="32"/>
      <c r="E3776" s="33"/>
      <c r="F3776" s="54" t="s">
        <v>572</v>
      </c>
      <c r="G3776" s="54" t="str">
        <f t="shared" si="64"/>
        <v/>
      </c>
      <c r="H3776" s="73"/>
      <c r="I3776" s="74"/>
      <c r="J3776" s="156">
        <v>0</v>
      </c>
    </row>
    <row r="3777" spans="1:10" ht="15.75" hidden="1" thickBot="1" x14ac:dyDescent="0.3">
      <c r="A3777" s="227"/>
      <c r="B3777" s="225"/>
      <c r="C3777" s="36" t="s">
        <v>350</v>
      </c>
      <c r="D3777" s="47" t="s">
        <v>299</v>
      </c>
      <c r="E3777" s="37">
        <v>0.20519999999999999</v>
      </c>
      <c r="F3777" s="54">
        <v>13.661</v>
      </c>
      <c r="G3777" s="54">
        <f t="shared" si="64"/>
        <v>2.8032371999999999</v>
      </c>
      <c r="H3777" s="39">
        <f>SUM(G3777:G3788)</f>
        <v>555.61619250000001</v>
      </c>
      <c r="I3777" s="40"/>
      <c r="J3777" s="156">
        <v>0</v>
      </c>
    </row>
    <row r="3778" spans="1:10" ht="26.25" hidden="1" thickBot="1" x14ac:dyDescent="0.3">
      <c r="A3778" s="227"/>
      <c r="B3778" s="225"/>
      <c r="C3778" s="36" t="s">
        <v>1209</v>
      </c>
      <c r="D3778" s="47" t="s">
        <v>299</v>
      </c>
      <c r="E3778" s="37">
        <v>2</v>
      </c>
      <c r="F3778" s="54">
        <v>9.31</v>
      </c>
      <c r="G3778" s="54">
        <f t="shared" si="64"/>
        <v>18.62</v>
      </c>
      <c r="H3778" s="73"/>
      <c r="I3778" s="74"/>
      <c r="J3778" s="156">
        <v>0</v>
      </c>
    </row>
    <row r="3779" spans="1:10" ht="15.75" hidden="1" thickBot="1" x14ac:dyDescent="0.3">
      <c r="A3779" s="227"/>
      <c r="B3779" s="225"/>
      <c r="C3779" s="36" t="s">
        <v>1210</v>
      </c>
      <c r="D3779" s="47" t="s">
        <v>299</v>
      </c>
      <c r="E3779" s="37">
        <v>4</v>
      </c>
      <c r="F3779" s="54">
        <v>6.9064999999999994</v>
      </c>
      <c r="G3779" s="54">
        <f t="shared" si="64"/>
        <v>27.625999999999998</v>
      </c>
      <c r="H3779" s="73"/>
      <c r="I3779" s="74"/>
      <c r="J3779" s="156">
        <v>0</v>
      </c>
    </row>
    <row r="3780" spans="1:10" ht="15.75" hidden="1" thickBot="1" x14ac:dyDescent="0.3">
      <c r="A3780" s="227"/>
      <c r="B3780" s="225"/>
      <c r="C3780" s="36" t="s">
        <v>1211</v>
      </c>
      <c r="D3780" s="47" t="s">
        <v>299</v>
      </c>
      <c r="E3780" s="37">
        <v>2</v>
      </c>
      <c r="F3780" s="54">
        <v>2.4604999999999997</v>
      </c>
      <c r="G3780" s="54">
        <f t="shared" si="64"/>
        <v>4.9209999999999994</v>
      </c>
      <c r="H3780" s="73"/>
      <c r="I3780" s="74"/>
      <c r="J3780" s="156">
        <v>0</v>
      </c>
    </row>
    <row r="3781" spans="1:10" ht="26.25" hidden="1" thickBot="1" x14ac:dyDescent="0.3">
      <c r="A3781" s="227"/>
      <c r="B3781" s="225"/>
      <c r="C3781" s="36" t="s">
        <v>1212</v>
      </c>
      <c r="D3781" s="47" t="s">
        <v>299</v>
      </c>
      <c r="E3781" s="37">
        <v>2</v>
      </c>
      <c r="F3781" s="54">
        <v>15.152499999999998</v>
      </c>
      <c r="G3781" s="54">
        <f t="shared" si="64"/>
        <v>30.304999999999996</v>
      </c>
      <c r="H3781" s="73"/>
      <c r="I3781" s="74"/>
      <c r="J3781" s="156">
        <v>0</v>
      </c>
    </row>
    <row r="3782" spans="1:10" ht="26.25" hidden="1" thickBot="1" x14ac:dyDescent="0.3">
      <c r="A3782" s="227"/>
      <c r="B3782" s="225"/>
      <c r="C3782" s="36" t="s">
        <v>1213</v>
      </c>
      <c r="D3782" s="47" t="s">
        <v>299</v>
      </c>
      <c r="E3782" s="37">
        <v>1</v>
      </c>
      <c r="F3782" s="54">
        <v>19.893000000000001</v>
      </c>
      <c r="G3782" s="54">
        <f t="shared" si="64"/>
        <v>19.893000000000001</v>
      </c>
      <c r="H3782" s="73"/>
      <c r="I3782" s="74"/>
      <c r="J3782" s="156">
        <v>0</v>
      </c>
    </row>
    <row r="3783" spans="1:10" ht="15.75" hidden="1" thickBot="1" x14ac:dyDescent="0.3">
      <c r="A3783" s="227"/>
      <c r="B3783" s="225"/>
      <c r="C3783" s="36" t="s">
        <v>1214</v>
      </c>
      <c r="D3783" s="47" t="s">
        <v>299</v>
      </c>
      <c r="E3783" s="37">
        <v>3</v>
      </c>
      <c r="F3783" s="54">
        <v>64.676000000000002</v>
      </c>
      <c r="G3783" s="54">
        <f t="shared" si="64"/>
        <v>194.02800000000002</v>
      </c>
      <c r="H3783" s="73"/>
      <c r="I3783" s="74"/>
      <c r="J3783" s="156">
        <v>0</v>
      </c>
    </row>
    <row r="3784" spans="1:10" ht="15.75" hidden="1" thickBot="1" x14ac:dyDescent="0.3">
      <c r="A3784" s="227"/>
      <c r="B3784" s="225"/>
      <c r="C3784" s="36" t="s">
        <v>1215</v>
      </c>
      <c r="D3784" s="47" t="s">
        <v>299</v>
      </c>
      <c r="E3784" s="37">
        <v>2</v>
      </c>
      <c r="F3784" s="54">
        <v>41.505499999999998</v>
      </c>
      <c r="G3784" s="54">
        <f t="shared" si="64"/>
        <v>83.010999999999996</v>
      </c>
      <c r="H3784" s="73"/>
      <c r="I3784" s="74"/>
      <c r="J3784" s="156">
        <v>0</v>
      </c>
    </row>
    <row r="3785" spans="1:10" ht="26.25" hidden="1" thickBot="1" x14ac:dyDescent="0.3">
      <c r="A3785" s="227"/>
      <c r="B3785" s="225"/>
      <c r="C3785" s="36" t="s">
        <v>1216</v>
      </c>
      <c r="D3785" s="47" t="s">
        <v>527</v>
      </c>
      <c r="E3785" s="37">
        <v>0.72729999999999995</v>
      </c>
      <c r="F3785" s="54">
        <v>40.070999999999998</v>
      </c>
      <c r="G3785" s="54">
        <f t="shared" si="64"/>
        <v>29.143638299999996</v>
      </c>
      <c r="H3785" s="73"/>
      <c r="I3785" s="74"/>
      <c r="J3785" s="156">
        <v>0</v>
      </c>
    </row>
    <row r="3786" spans="1:10" ht="26.25" hidden="1" thickBot="1" x14ac:dyDescent="0.3">
      <c r="A3786" s="227"/>
      <c r="B3786" s="225"/>
      <c r="C3786" s="36" t="s">
        <v>1012</v>
      </c>
      <c r="D3786" s="47" t="s">
        <v>759</v>
      </c>
      <c r="E3786" s="37">
        <v>1.6462000000000001</v>
      </c>
      <c r="F3786" s="54">
        <v>16.891000000000002</v>
      </c>
      <c r="G3786" s="54">
        <f t="shared" si="64"/>
        <v>27.805964200000005</v>
      </c>
      <c r="H3786" s="73"/>
      <c r="I3786" s="74"/>
      <c r="J3786" s="156">
        <v>0</v>
      </c>
    </row>
    <row r="3787" spans="1:10" ht="26.25" hidden="1" thickBot="1" x14ac:dyDescent="0.3">
      <c r="A3787" s="227"/>
      <c r="B3787" s="225"/>
      <c r="C3787" s="36" t="s">
        <v>1013</v>
      </c>
      <c r="D3787" s="47" t="s">
        <v>759</v>
      </c>
      <c r="E3787" s="37">
        <v>5.4324000000000003</v>
      </c>
      <c r="F3787" s="54">
        <v>21.622</v>
      </c>
      <c r="G3787" s="54">
        <f t="shared" si="64"/>
        <v>117.4593528</v>
      </c>
      <c r="H3787" s="73"/>
      <c r="I3787" s="74"/>
      <c r="J3787" s="156">
        <v>0</v>
      </c>
    </row>
    <row r="3788" spans="1:10" ht="15.75" hidden="1" thickBot="1" x14ac:dyDescent="0.3">
      <c r="A3788" s="227"/>
      <c r="B3788" s="225"/>
      <c r="C3788" s="36" t="s">
        <v>1217</v>
      </c>
      <c r="D3788" s="47" t="s">
        <v>299</v>
      </c>
      <c r="E3788" s="37">
        <v>1</v>
      </c>
      <c r="F3788" s="54" t="s">
        <v>572</v>
      </c>
      <c r="G3788" s="54" t="str">
        <f t="shared" si="64"/>
        <v/>
      </c>
      <c r="H3788" s="73"/>
      <c r="I3788" s="74"/>
      <c r="J3788" s="156">
        <v>0</v>
      </c>
    </row>
    <row r="3789" spans="1:10" ht="15.75" hidden="1" thickBot="1" x14ac:dyDescent="0.3">
      <c r="A3789" s="227"/>
      <c r="B3789" s="225"/>
      <c r="C3789" s="55"/>
      <c r="D3789" s="55"/>
      <c r="E3789" s="66"/>
      <c r="F3789" s="76" t="s">
        <v>572</v>
      </c>
      <c r="G3789" s="76" t="str">
        <f t="shared" si="64"/>
        <v/>
      </c>
      <c r="H3789" s="77"/>
      <c r="I3789" s="74"/>
      <c r="J3789" s="156">
        <v>0</v>
      </c>
    </row>
    <row r="3790" spans="1:10" ht="15.75" hidden="1" thickBot="1" x14ac:dyDescent="0.3">
      <c r="A3790" s="221" t="s">
        <v>1218</v>
      </c>
      <c r="B3790" s="224" t="str">
        <f>INDEX(Orçamentária!A:B,MATCH(Composições!A3790,Orçamentária!A:A,0),2)</f>
        <v>Registro Esfera para Gás 3/4”</v>
      </c>
      <c r="C3790" s="41"/>
      <c r="D3790" s="26" t="str">
        <f>TRIM(INDEX(Orçamentária!C:C,MATCH(Composições!A3790,Orçamentária!A:A,0),1))</f>
        <v>un</v>
      </c>
      <c r="E3790" s="27"/>
      <c r="F3790" s="49" t="s">
        <v>572</v>
      </c>
      <c r="G3790" s="28" t="str">
        <f t="shared" si="64"/>
        <v/>
      </c>
      <c r="H3790" s="29"/>
      <c r="I3790" s="30"/>
      <c r="J3790" s="156">
        <v>0</v>
      </c>
    </row>
    <row r="3791" spans="1:10" ht="15.75" hidden="1" thickBot="1" x14ac:dyDescent="0.3">
      <c r="A3791" s="227"/>
      <c r="B3791" s="225"/>
      <c r="C3791" s="32"/>
      <c r="D3791" s="32"/>
      <c r="E3791" s="33"/>
      <c r="F3791" s="54" t="s">
        <v>572</v>
      </c>
      <c r="G3791" s="54" t="str">
        <f t="shared" si="64"/>
        <v/>
      </c>
      <c r="H3791" s="73"/>
      <c r="I3791" s="74"/>
      <c r="J3791" s="156">
        <v>0</v>
      </c>
    </row>
    <row r="3792" spans="1:10" ht="15.75" hidden="1" thickBot="1" x14ac:dyDescent="0.3">
      <c r="A3792" s="227"/>
      <c r="B3792" s="225"/>
      <c r="C3792" s="36" t="s">
        <v>350</v>
      </c>
      <c r="D3792" s="36" t="s">
        <v>299</v>
      </c>
      <c r="E3792" s="37">
        <v>1.2999999999999999E-2</v>
      </c>
      <c r="F3792" s="54">
        <v>13.661</v>
      </c>
      <c r="G3792" s="54">
        <f t="shared" si="64"/>
        <v>0.17759299999999997</v>
      </c>
      <c r="H3792" s="39">
        <f>SUM(G3792:G3795)</f>
        <v>7.8801930000000002</v>
      </c>
      <c r="I3792" s="40"/>
      <c r="J3792" s="156">
        <v>0</v>
      </c>
    </row>
    <row r="3793" spans="1:10" ht="15.75" hidden="1" thickBot="1" x14ac:dyDescent="0.3">
      <c r="A3793" s="227"/>
      <c r="B3793" s="225"/>
      <c r="C3793" s="36" t="s">
        <v>1219</v>
      </c>
      <c r="D3793" s="36" t="s">
        <v>299</v>
      </c>
      <c r="E3793" s="37">
        <v>1</v>
      </c>
      <c r="F3793" s="54" t="s">
        <v>572</v>
      </c>
      <c r="G3793" s="54" t="str">
        <f t="shared" si="64"/>
        <v/>
      </c>
      <c r="H3793" s="73"/>
      <c r="I3793" s="74"/>
      <c r="J3793" s="156">
        <v>0</v>
      </c>
    </row>
    <row r="3794" spans="1:10" ht="26.25" hidden="1" thickBot="1" x14ac:dyDescent="0.3">
      <c r="A3794" s="227"/>
      <c r="B3794" s="225"/>
      <c r="C3794" s="36" t="s">
        <v>1012</v>
      </c>
      <c r="D3794" s="36" t="s">
        <v>759</v>
      </c>
      <c r="E3794" s="37">
        <v>0.2</v>
      </c>
      <c r="F3794" s="54">
        <v>16.891000000000002</v>
      </c>
      <c r="G3794" s="54">
        <f t="shared" ref="G3794:G3857" si="65">IF(ISNUMBER(F3794),E3794*F3794,"")</f>
        <v>3.3782000000000005</v>
      </c>
      <c r="H3794" s="73"/>
      <c r="I3794" s="74"/>
      <c r="J3794" s="156">
        <v>0</v>
      </c>
    </row>
    <row r="3795" spans="1:10" ht="26.25" hidden="1" thickBot="1" x14ac:dyDescent="0.3">
      <c r="A3795" s="227"/>
      <c r="B3795" s="225"/>
      <c r="C3795" s="36" t="s">
        <v>1013</v>
      </c>
      <c r="D3795" s="36" t="s">
        <v>759</v>
      </c>
      <c r="E3795" s="37">
        <v>0.2</v>
      </c>
      <c r="F3795" s="54">
        <v>21.622</v>
      </c>
      <c r="G3795" s="54">
        <f t="shared" si="65"/>
        <v>4.3243999999999998</v>
      </c>
      <c r="H3795" s="73"/>
      <c r="I3795" s="74"/>
      <c r="J3795" s="156">
        <v>0</v>
      </c>
    </row>
    <row r="3796" spans="1:10" ht="15.75" hidden="1" thickBot="1" x14ac:dyDescent="0.3">
      <c r="A3796" s="227"/>
      <c r="B3796" s="225"/>
      <c r="C3796" s="55"/>
      <c r="D3796" s="55"/>
      <c r="E3796" s="66"/>
      <c r="F3796" s="76" t="s">
        <v>572</v>
      </c>
      <c r="G3796" s="76" t="str">
        <f t="shared" si="65"/>
        <v/>
      </c>
      <c r="H3796" s="77"/>
      <c r="I3796" s="74"/>
      <c r="J3796" s="156">
        <v>0</v>
      </c>
    </row>
    <row r="3797" spans="1:10" ht="15.75" hidden="1" thickBot="1" x14ac:dyDescent="0.3">
      <c r="A3797" s="221" t="s">
        <v>1220</v>
      </c>
      <c r="B3797" s="224" t="str">
        <f>INDEX(Orçamentária!A:B,MATCH(Composições!A3797,Orçamentária!A:A,0),2)</f>
        <v>Placa de Concreto Pré-Moldado 15 Mpa</v>
      </c>
      <c r="C3797" s="41"/>
      <c r="D3797" s="26" t="str">
        <f>TRIM(INDEX(Orçamentária!C:C,MATCH(Composições!A3797,Orçamentária!A:A,0),1))</f>
        <v>m3</v>
      </c>
      <c r="E3797" s="27"/>
      <c r="F3797" s="49" t="s">
        <v>572</v>
      </c>
      <c r="G3797" s="28" t="str">
        <f t="shared" si="65"/>
        <v/>
      </c>
      <c r="H3797" s="29"/>
      <c r="I3797" s="30"/>
      <c r="J3797" s="156">
        <v>0</v>
      </c>
    </row>
    <row r="3798" spans="1:10" ht="15.75" hidden="1" thickBot="1" x14ac:dyDescent="0.3">
      <c r="A3798" s="227"/>
      <c r="B3798" s="225"/>
      <c r="C3798" s="32"/>
      <c r="D3798" s="32"/>
      <c r="E3798" s="33"/>
      <c r="F3798" s="54" t="s">
        <v>572</v>
      </c>
      <c r="G3798" s="54" t="str">
        <f t="shared" si="65"/>
        <v/>
      </c>
      <c r="H3798" s="73"/>
      <c r="I3798" s="74"/>
      <c r="J3798" s="156">
        <v>0</v>
      </c>
    </row>
    <row r="3799" spans="1:10" ht="26.25" hidden="1" thickBot="1" x14ac:dyDescent="0.3">
      <c r="A3799" s="227"/>
      <c r="B3799" s="225"/>
      <c r="C3799" s="36" t="s">
        <v>1221</v>
      </c>
      <c r="D3799" s="36" t="s">
        <v>1053</v>
      </c>
      <c r="E3799" s="37">
        <v>2.9790000000000001</v>
      </c>
      <c r="F3799" s="54">
        <v>40.650499999999994</v>
      </c>
      <c r="G3799" s="54">
        <f t="shared" si="65"/>
        <v>121.09783949999999</v>
      </c>
      <c r="H3799" s="39">
        <f>SUM(G3799:G3811)</f>
        <v>2846.2037836488848</v>
      </c>
      <c r="I3799" s="40"/>
      <c r="J3799" s="156">
        <v>0</v>
      </c>
    </row>
    <row r="3800" spans="1:10" ht="26.25" hidden="1" thickBot="1" x14ac:dyDescent="0.3">
      <c r="A3800" s="227"/>
      <c r="B3800" s="225"/>
      <c r="C3800" s="36" t="s">
        <v>1222</v>
      </c>
      <c r="D3800" s="36" t="s">
        <v>105</v>
      </c>
      <c r="E3800" s="37">
        <v>0.12</v>
      </c>
      <c r="F3800" s="54">
        <v>5.6144999999999996</v>
      </c>
      <c r="G3800" s="54">
        <f t="shared" si="65"/>
        <v>0.67373999999999989</v>
      </c>
      <c r="H3800" s="73"/>
      <c r="I3800" s="74"/>
      <c r="J3800" s="156">
        <v>0</v>
      </c>
    </row>
    <row r="3801" spans="1:10" ht="15.75" hidden="1" thickBot="1" x14ac:dyDescent="0.3">
      <c r="A3801" s="227"/>
      <c r="B3801" s="225"/>
      <c r="C3801" s="36" t="s">
        <v>1223</v>
      </c>
      <c r="D3801" s="36" t="s">
        <v>957</v>
      </c>
      <c r="E3801" s="37">
        <v>0.64449999999999996</v>
      </c>
      <c r="F3801" s="54">
        <v>19.256499999999999</v>
      </c>
      <c r="G3801" s="54">
        <f t="shared" si="65"/>
        <v>12.410814249999998</v>
      </c>
      <c r="H3801" s="73"/>
      <c r="I3801" s="74"/>
      <c r="J3801" s="156">
        <v>0</v>
      </c>
    </row>
    <row r="3802" spans="1:10" ht="15.75" hidden="1" thickBot="1" x14ac:dyDescent="0.3">
      <c r="A3802" s="227"/>
      <c r="B3802" s="225"/>
      <c r="C3802" s="36" t="s">
        <v>843</v>
      </c>
      <c r="D3802" s="36" t="s">
        <v>759</v>
      </c>
      <c r="E3802" s="37">
        <v>1.8137000000000001</v>
      </c>
      <c r="F3802" s="54">
        <v>18.468</v>
      </c>
      <c r="G3802" s="54">
        <f t="shared" si="65"/>
        <v>33.495411600000004</v>
      </c>
      <c r="H3802" s="73"/>
      <c r="I3802" s="74"/>
      <c r="J3802" s="156">
        <v>0</v>
      </c>
    </row>
    <row r="3803" spans="1:10" ht="15.75" hidden="1" thickBot="1" x14ac:dyDescent="0.3">
      <c r="A3803" s="227"/>
      <c r="B3803" s="225"/>
      <c r="C3803" s="36" t="s">
        <v>758</v>
      </c>
      <c r="D3803" s="36" t="s">
        <v>759</v>
      </c>
      <c r="E3803" s="37">
        <v>9.0685000000000002</v>
      </c>
      <c r="F3803" s="54">
        <v>21.916499999999999</v>
      </c>
      <c r="G3803" s="54">
        <f t="shared" si="65"/>
        <v>198.74978024999999</v>
      </c>
      <c r="H3803" s="73"/>
      <c r="I3803" s="74"/>
      <c r="J3803" s="156">
        <v>0</v>
      </c>
    </row>
    <row r="3804" spans="1:10" ht="15.75" hidden="1" thickBot="1" x14ac:dyDescent="0.3">
      <c r="A3804" s="227"/>
      <c r="B3804" s="225"/>
      <c r="C3804" s="36" t="s">
        <v>768</v>
      </c>
      <c r="D3804" s="36" t="s">
        <v>759</v>
      </c>
      <c r="E3804" s="37">
        <v>32.192999999999998</v>
      </c>
      <c r="F3804" s="54">
        <v>22.087499999999999</v>
      </c>
      <c r="G3804" s="54">
        <f t="shared" si="65"/>
        <v>711.06288749999987</v>
      </c>
      <c r="H3804" s="73"/>
      <c r="I3804" s="74"/>
      <c r="J3804" s="156">
        <v>0</v>
      </c>
    </row>
    <row r="3805" spans="1:10" ht="15.75" hidden="1" thickBot="1" x14ac:dyDescent="0.3">
      <c r="A3805" s="227"/>
      <c r="B3805" s="225"/>
      <c r="C3805" s="36" t="s">
        <v>760</v>
      </c>
      <c r="D3805" s="36" t="s">
        <v>759</v>
      </c>
      <c r="E3805" s="37">
        <v>32.192999999999998</v>
      </c>
      <c r="F3805" s="54">
        <v>16.311500000000002</v>
      </c>
      <c r="G3805" s="54">
        <f t="shared" si="65"/>
        <v>525.11611950000008</v>
      </c>
      <c r="H3805" s="73"/>
      <c r="I3805" s="74"/>
      <c r="J3805" s="156">
        <v>0</v>
      </c>
    </row>
    <row r="3806" spans="1:10" ht="26.25" hidden="1" thickBot="1" x14ac:dyDescent="0.3">
      <c r="A3806" s="227"/>
      <c r="B3806" s="225"/>
      <c r="C3806" s="36" t="s">
        <v>1224</v>
      </c>
      <c r="D3806" s="36" t="s">
        <v>1001</v>
      </c>
      <c r="E3806" s="37">
        <v>6.6319999999999997</v>
      </c>
      <c r="F3806" s="54">
        <v>1.4249999999999998</v>
      </c>
      <c r="G3806" s="54">
        <f t="shared" si="65"/>
        <v>9.4505999999999979</v>
      </c>
      <c r="H3806" s="73"/>
      <c r="I3806" s="74"/>
      <c r="J3806" s="156">
        <v>0</v>
      </c>
    </row>
    <row r="3807" spans="1:10" ht="26.25" hidden="1" thickBot="1" x14ac:dyDescent="0.3">
      <c r="A3807" s="227"/>
      <c r="B3807" s="225"/>
      <c r="C3807" s="36" t="s">
        <v>1225</v>
      </c>
      <c r="D3807" s="36" t="s">
        <v>1003</v>
      </c>
      <c r="E3807" s="37">
        <v>18.246200000000002</v>
      </c>
      <c r="F3807" s="54">
        <v>0.41799999999999998</v>
      </c>
      <c r="G3807" s="54">
        <f t="shared" si="65"/>
        <v>7.6269116000000006</v>
      </c>
      <c r="H3807" s="73"/>
      <c r="I3807" s="74"/>
      <c r="J3807" s="156">
        <v>0</v>
      </c>
    </row>
    <row r="3808" spans="1:10" ht="26.25" hidden="1" thickBot="1" x14ac:dyDescent="0.3">
      <c r="A3808" s="227"/>
      <c r="B3808" s="225"/>
      <c r="C3808" s="36" t="s">
        <v>1226</v>
      </c>
      <c r="D3808" s="36" t="s">
        <v>1001</v>
      </c>
      <c r="E3808" s="37">
        <v>0.77359999999999995</v>
      </c>
      <c r="F3808" s="54">
        <v>19.180499999999999</v>
      </c>
      <c r="G3808" s="54">
        <f t="shared" si="65"/>
        <v>14.838034799999997</v>
      </c>
      <c r="H3808" s="73"/>
      <c r="I3808" s="74"/>
      <c r="J3808" s="156">
        <v>0</v>
      </c>
    </row>
    <row r="3809" spans="1:10" ht="26.25" hidden="1" thickBot="1" x14ac:dyDescent="0.3">
      <c r="A3809" s="227"/>
      <c r="B3809" s="225"/>
      <c r="C3809" s="36" t="s">
        <v>1227</v>
      </c>
      <c r="D3809" s="36" t="s">
        <v>1003</v>
      </c>
      <c r="E3809" s="37">
        <v>1.0401</v>
      </c>
      <c r="F3809" s="54">
        <v>17.327999999999999</v>
      </c>
      <c r="G3809" s="54">
        <f t="shared" si="65"/>
        <v>18.022852799999999</v>
      </c>
      <c r="H3809" s="73"/>
      <c r="I3809" s="74"/>
      <c r="J3809" s="156">
        <v>0</v>
      </c>
    </row>
    <row r="3810" spans="1:10" ht="39" hidden="1" thickBot="1" x14ac:dyDescent="0.3">
      <c r="A3810" s="227"/>
      <c r="B3810" s="225"/>
      <c r="C3810" s="36" t="s">
        <v>1228</v>
      </c>
      <c r="D3810" s="36" t="s">
        <v>957</v>
      </c>
      <c r="E3810" s="37">
        <v>42.646299999999997</v>
      </c>
      <c r="F3810" s="54">
        <v>17.080738749999998</v>
      </c>
      <c r="G3810" s="54">
        <f t="shared" si="65"/>
        <v>728.43030895412483</v>
      </c>
      <c r="H3810" s="73"/>
      <c r="I3810" s="74"/>
      <c r="J3810" s="156">
        <v>0</v>
      </c>
    </row>
    <row r="3811" spans="1:10" ht="26.25" hidden="1" thickBot="1" x14ac:dyDescent="0.3">
      <c r="A3811" s="227"/>
      <c r="B3811" s="225"/>
      <c r="C3811" s="36" t="s">
        <v>1229</v>
      </c>
      <c r="D3811" s="36" t="s">
        <v>124</v>
      </c>
      <c r="E3811" s="37">
        <v>1.2</v>
      </c>
      <c r="F3811" s="54">
        <v>387.69040241229999</v>
      </c>
      <c r="G3811" s="54">
        <f t="shared" si="65"/>
        <v>465.22848289475996</v>
      </c>
      <c r="H3811" s="73"/>
      <c r="I3811" s="74"/>
      <c r="J3811" s="156">
        <v>0</v>
      </c>
    </row>
    <row r="3812" spans="1:10" ht="15.75" hidden="1" thickBot="1" x14ac:dyDescent="0.3">
      <c r="A3812" s="228"/>
      <c r="B3812" s="226"/>
      <c r="C3812" s="55"/>
      <c r="D3812" s="55"/>
      <c r="E3812" s="66"/>
      <c r="F3812" s="76" t="s">
        <v>572</v>
      </c>
      <c r="G3812" s="76" t="str">
        <f t="shared" si="65"/>
        <v/>
      </c>
      <c r="H3812" s="77"/>
      <c r="I3812" s="74"/>
      <c r="J3812" s="156">
        <v>0</v>
      </c>
    </row>
    <row r="3813" spans="1:10" ht="15.75" hidden="1" thickBot="1" x14ac:dyDescent="0.3">
      <c r="A3813" s="221" t="s">
        <v>1230</v>
      </c>
      <c r="B3813" s="224" t="str">
        <f>INDEX(Orçamentária!A:B,MATCH(Composições!A3813,Orçamentária!A:A,0),2)</f>
        <v>Eletroduto PEAD 3”</v>
      </c>
      <c r="C3813" s="41"/>
      <c r="D3813" s="26" t="str">
        <f>TRIM(INDEX(Orçamentária!C:C,MATCH(Composições!A3813,Orçamentária!A:A,0),1))</f>
        <v>m</v>
      </c>
      <c r="E3813" s="27"/>
      <c r="F3813" s="49" t="s">
        <v>572</v>
      </c>
      <c r="G3813" s="28" t="str">
        <f t="shared" si="65"/>
        <v/>
      </c>
      <c r="H3813" s="29"/>
      <c r="I3813" s="30"/>
      <c r="J3813" s="156">
        <v>0</v>
      </c>
    </row>
    <row r="3814" spans="1:10" ht="15.75" hidden="1" thickBot="1" x14ac:dyDescent="0.3">
      <c r="A3814" s="227"/>
      <c r="B3814" s="225"/>
      <c r="C3814" s="32"/>
      <c r="D3814" s="32"/>
      <c r="E3814" s="33"/>
      <c r="F3814" s="54" t="s">
        <v>572</v>
      </c>
      <c r="G3814" s="54" t="str">
        <f t="shared" si="65"/>
        <v/>
      </c>
      <c r="H3814" s="73"/>
      <c r="I3814" s="74"/>
      <c r="J3814" s="156">
        <v>0</v>
      </c>
    </row>
    <row r="3815" spans="1:10" ht="39" hidden="1" thickBot="1" x14ac:dyDescent="0.3">
      <c r="A3815" s="227"/>
      <c r="B3815" s="225"/>
      <c r="C3815" s="36" t="s">
        <v>1231</v>
      </c>
      <c r="D3815" s="36" t="s">
        <v>527</v>
      </c>
      <c r="E3815" s="37">
        <v>1.1000000000000001</v>
      </c>
      <c r="F3815" s="54">
        <v>7.8469999999999995</v>
      </c>
      <c r="G3815" s="54">
        <f t="shared" si="65"/>
        <v>8.6317000000000004</v>
      </c>
      <c r="H3815" s="39">
        <f>SUM(G3815:G3817)</f>
        <v>16.399964000000001</v>
      </c>
      <c r="I3815" s="40"/>
      <c r="J3815" s="156">
        <v>0</v>
      </c>
    </row>
    <row r="3816" spans="1:10" ht="15.75" hidden="1" thickBot="1" x14ac:dyDescent="0.3">
      <c r="A3816" s="227"/>
      <c r="B3816" s="225"/>
      <c r="C3816" s="36" t="s">
        <v>1232</v>
      </c>
      <c r="D3816" s="36" t="s">
        <v>759</v>
      </c>
      <c r="E3816" s="37">
        <v>0.19600000000000001</v>
      </c>
      <c r="F3816" s="54">
        <v>17.366</v>
      </c>
      <c r="G3816" s="54">
        <f t="shared" si="65"/>
        <v>3.4037359999999999</v>
      </c>
      <c r="H3816" s="73"/>
      <c r="I3816" s="74"/>
      <c r="J3816" s="156">
        <v>0</v>
      </c>
    </row>
    <row r="3817" spans="1:10" ht="15.75" hidden="1" thickBot="1" x14ac:dyDescent="0.3">
      <c r="A3817" s="227"/>
      <c r="B3817" s="225"/>
      <c r="C3817" s="36" t="s">
        <v>1233</v>
      </c>
      <c r="D3817" s="36" t="s">
        <v>759</v>
      </c>
      <c r="E3817" s="37">
        <v>0.19600000000000001</v>
      </c>
      <c r="F3817" s="54">
        <v>22.268000000000001</v>
      </c>
      <c r="G3817" s="54">
        <f t="shared" si="65"/>
        <v>4.364528</v>
      </c>
      <c r="H3817" s="73"/>
      <c r="I3817" s="74"/>
      <c r="J3817" s="156">
        <v>0</v>
      </c>
    </row>
    <row r="3818" spans="1:10" ht="15.75" hidden="1" thickBot="1" x14ac:dyDescent="0.3">
      <c r="A3818" s="227"/>
      <c r="B3818" s="225"/>
      <c r="C3818" s="55"/>
      <c r="D3818" s="55"/>
      <c r="E3818" s="66"/>
      <c r="F3818" s="76" t="s">
        <v>572</v>
      </c>
      <c r="G3818" s="76" t="str">
        <f t="shared" si="65"/>
        <v/>
      </c>
      <c r="H3818" s="77"/>
      <c r="I3818" s="74"/>
      <c r="J3818" s="156">
        <v>0</v>
      </c>
    </row>
    <row r="3819" spans="1:10" ht="15.75" hidden="1" thickBot="1" x14ac:dyDescent="0.3">
      <c r="A3819" s="221" t="s">
        <v>1234</v>
      </c>
      <c r="B3819" s="224" t="str">
        <f>INDEX(Orçamentária!A:B,MATCH(Composições!A3819,Orçamentária!A:A,0),2)</f>
        <v>Eletroduto de aço galvanizado de 3”</v>
      </c>
      <c r="C3819" s="41"/>
      <c r="D3819" s="26" t="str">
        <f>TRIM(INDEX(Orçamentária!C:C,MATCH(Composições!A3819,Orçamentária!A:A,0),1))</f>
        <v>m</v>
      </c>
      <c r="E3819" s="27"/>
      <c r="F3819" s="49" t="s">
        <v>572</v>
      </c>
      <c r="G3819" s="28" t="str">
        <f t="shared" si="65"/>
        <v/>
      </c>
      <c r="H3819" s="29"/>
      <c r="I3819" s="30"/>
      <c r="J3819" s="156">
        <v>0</v>
      </c>
    </row>
    <row r="3820" spans="1:10" ht="15.75" hidden="1" thickBot="1" x14ac:dyDescent="0.3">
      <c r="A3820" s="227"/>
      <c r="B3820" s="225"/>
      <c r="C3820" s="32"/>
      <c r="D3820" s="32"/>
      <c r="E3820" s="33"/>
      <c r="F3820" s="54" t="s">
        <v>572</v>
      </c>
      <c r="G3820" s="54" t="str">
        <f t="shared" si="65"/>
        <v/>
      </c>
      <c r="H3820" s="73"/>
      <c r="I3820" s="74"/>
      <c r="J3820" s="156">
        <v>0</v>
      </c>
    </row>
    <row r="3821" spans="1:10" ht="15.75" hidden="1" thickBot="1" x14ac:dyDescent="0.3">
      <c r="A3821" s="227"/>
      <c r="B3821" s="225"/>
      <c r="C3821" s="36" t="s">
        <v>1235</v>
      </c>
      <c r="D3821" s="36" t="s">
        <v>94</v>
      </c>
      <c r="E3821" s="37">
        <v>1.05</v>
      </c>
      <c r="F3821" s="54">
        <v>0</v>
      </c>
      <c r="G3821" s="54">
        <f t="shared" si="65"/>
        <v>0</v>
      </c>
      <c r="H3821" s="39">
        <f>SUM(G3821:G3823)</f>
        <v>39.634</v>
      </c>
      <c r="I3821" s="40"/>
      <c r="J3821" s="156">
        <v>0</v>
      </c>
    </row>
    <row r="3822" spans="1:10" ht="15.75" hidden="1" thickBot="1" x14ac:dyDescent="0.3">
      <c r="A3822" s="227"/>
      <c r="B3822" s="225"/>
      <c r="C3822" s="36" t="s">
        <v>1232</v>
      </c>
      <c r="D3822" s="36" t="s">
        <v>759</v>
      </c>
      <c r="E3822" s="37">
        <v>1</v>
      </c>
      <c r="F3822" s="54">
        <v>17.366</v>
      </c>
      <c r="G3822" s="54">
        <f t="shared" si="65"/>
        <v>17.366</v>
      </c>
      <c r="H3822" s="73"/>
      <c r="I3822" s="74"/>
      <c r="J3822" s="156">
        <v>0</v>
      </c>
    </row>
    <row r="3823" spans="1:10" ht="15.75" hidden="1" thickBot="1" x14ac:dyDescent="0.3">
      <c r="A3823" s="227"/>
      <c r="B3823" s="225"/>
      <c r="C3823" s="36" t="s">
        <v>1233</v>
      </c>
      <c r="D3823" s="36" t="s">
        <v>759</v>
      </c>
      <c r="E3823" s="37">
        <v>1</v>
      </c>
      <c r="F3823" s="54">
        <v>22.268000000000001</v>
      </c>
      <c r="G3823" s="54">
        <f t="shared" si="65"/>
        <v>22.268000000000001</v>
      </c>
      <c r="H3823" s="73"/>
      <c r="I3823" s="74"/>
      <c r="J3823" s="156">
        <v>0</v>
      </c>
    </row>
    <row r="3824" spans="1:10" ht="15.75" hidden="1" thickBot="1" x14ac:dyDescent="0.3">
      <c r="A3824" s="227"/>
      <c r="B3824" s="225"/>
      <c r="C3824" s="55"/>
      <c r="D3824" s="55"/>
      <c r="E3824" s="66"/>
      <c r="F3824" s="76" t="s">
        <v>572</v>
      </c>
      <c r="G3824" s="76" t="str">
        <f t="shared" si="65"/>
        <v/>
      </c>
      <c r="H3824" s="77"/>
      <c r="I3824" s="74"/>
      <c r="J3824" s="156">
        <v>0</v>
      </c>
    </row>
    <row r="3825" spans="1:10" ht="15.75" hidden="1" thickBot="1" x14ac:dyDescent="0.3">
      <c r="A3825" s="221" t="s">
        <v>1236</v>
      </c>
      <c r="B3825" s="224" t="str">
        <f>INDEX(Orçamentária!A:B,MATCH(Composições!A3825,Orçamentária!A:A,0),2)</f>
        <v>Grelha reta para ralo</v>
      </c>
      <c r="C3825" s="41"/>
      <c r="D3825" s="26" t="str">
        <f>TRIM(INDEX(Orçamentária!C:C,MATCH(Composições!A3825,Orçamentária!A:A,0),1))</f>
        <v>m</v>
      </c>
      <c r="E3825" s="27"/>
      <c r="F3825" s="49" t="s">
        <v>572</v>
      </c>
      <c r="G3825" s="28" t="str">
        <f t="shared" si="65"/>
        <v/>
      </c>
      <c r="H3825" s="29"/>
      <c r="I3825" s="30"/>
      <c r="J3825" s="156">
        <v>0</v>
      </c>
    </row>
    <row r="3826" spans="1:10" ht="15.75" hidden="1" thickBot="1" x14ac:dyDescent="0.3">
      <c r="A3826" s="227"/>
      <c r="B3826" s="225"/>
      <c r="C3826" s="32"/>
      <c r="D3826" s="32"/>
      <c r="E3826" s="33"/>
      <c r="F3826" s="54" t="s">
        <v>572</v>
      </c>
      <c r="G3826" s="54" t="str">
        <f t="shared" si="65"/>
        <v/>
      </c>
      <c r="H3826" s="73"/>
      <c r="I3826" s="74"/>
      <c r="J3826" s="156">
        <v>0</v>
      </c>
    </row>
    <row r="3827" spans="1:10" ht="26.25" hidden="1" thickBot="1" x14ac:dyDescent="0.3">
      <c r="A3827" s="227"/>
      <c r="B3827" s="225"/>
      <c r="C3827" s="36" t="s">
        <v>1237</v>
      </c>
      <c r="D3827" s="36" t="s">
        <v>94</v>
      </c>
      <c r="E3827" s="37">
        <v>1</v>
      </c>
      <c r="F3827" s="54">
        <v>0</v>
      </c>
      <c r="G3827" s="54">
        <f t="shared" si="65"/>
        <v>0</v>
      </c>
      <c r="H3827" s="39">
        <f>SUM(G3827:G3829)</f>
        <v>25.727330000000002</v>
      </c>
      <c r="I3827" s="40"/>
      <c r="J3827" s="156">
        <v>0</v>
      </c>
    </row>
    <row r="3828" spans="1:10" ht="15.75" hidden="1" thickBot="1" x14ac:dyDescent="0.3">
      <c r="A3828" s="227"/>
      <c r="B3828" s="225"/>
      <c r="C3828" s="36" t="s">
        <v>768</v>
      </c>
      <c r="D3828" s="36" t="s">
        <v>759</v>
      </c>
      <c r="E3828" s="37">
        <v>0.67</v>
      </c>
      <c r="F3828" s="54">
        <v>22.087499999999999</v>
      </c>
      <c r="G3828" s="54">
        <f t="shared" si="65"/>
        <v>14.798624999999999</v>
      </c>
      <c r="H3828" s="73"/>
      <c r="I3828" s="74"/>
      <c r="J3828" s="156">
        <v>0</v>
      </c>
    </row>
    <row r="3829" spans="1:10" ht="15.75" hidden="1" thickBot="1" x14ac:dyDescent="0.3">
      <c r="A3829" s="227"/>
      <c r="B3829" s="225"/>
      <c r="C3829" s="36" t="s">
        <v>760</v>
      </c>
      <c r="D3829" s="36" t="s">
        <v>759</v>
      </c>
      <c r="E3829" s="37">
        <v>0.67</v>
      </c>
      <c r="F3829" s="54">
        <v>16.311500000000002</v>
      </c>
      <c r="G3829" s="54">
        <f t="shared" si="65"/>
        <v>10.928705000000003</v>
      </c>
      <c r="H3829" s="73"/>
      <c r="I3829" s="74"/>
      <c r="J3829" s="156">
        <v>0</v>
      </c>
    </row>
    <row r="3830" spans="1:10" ht="15.75" hidden="1" thickBot="1" x14ac:dyDescent="0.3">
      <c r="A3830" s="227"/>
      <c r="B3830" s="225"/>
      <c r="C3830" s="55"/>
      <c r="D3830" s="55"/>
      <c r="E3830" s="66"/>
      <c r="F3830" s="76" t="s">
        <v>572</v>
      </c>
      <c r="G3830" s="76" t="str">
        <f t="shared" si="65"/>
        <v/>
      </c>
      <c r="H3830" s="77"/>
      <c r="I3830" s="74"/>
      <c r="J3830" s="156">
        <v>0</v>
      </c>
    </row>
    <row r="3831" spans="1:10" ht="15.75" hidden="1" thickBot="1" x14ac:dyDescent="0.3">
      <c r="A3831" s="221" t="s">
        <v>1238</v>
      </c>
      <c r="B3831" s="224" t="str">
        <f>INDEX(Orçamentária!A:B,MATCH(Composições!A3831,Orçamentária!A:A,0),2)</f>
        <v>Granito Vermelho Brasília para soleira e peitoril</v>
      </c>
      <c r="C3831" s="41"/>
      <c r="D3831" s="26" t="str">
        <f>TRIM(INDEX(Orçamentária!C:C,MATCH(Composições!A3831,Orçamentária!A:A,0),1))</f>
        <v>m2</v>
      </c>
      <c r="E3831" s="27"/>
      <c r="F3831" s="49" t="s">
        <v>572</v>
      </c>
      <c r="G3831" s="28" t="str">
        <f t="shared" si="65"/>
        <v/>
      </c>
      <c r="H3831" s="29"/>
      <c r="I3831" s="30"/>
      <c r="J3831" s="156">
        <v>0</v>
      </c>
    </row>
    <row r="3832" spans="1:10" ht="15.75" hidden="1" thickBot="1" x14ac:dyDescent="0.3">
      <c r="A3832" s="227"/>
      <c r="B3832" s="225"/>
      <c r="C3832" s="32"/>
      <c r="D3832" s="32"/>
      <c r="E3832" s="33"/>
      <c r="F3832" s="54" t="s">
        <v>572</v>
      </c>
      <c r="G3832" s="54" t="str">
        <f t="shared" si="65"/>
        <v/>
      </c>
      <c r="H3832" s="73"/>
      <c r="I3832" s="74"/>
      <c r="J3832" s="156">
        <v>0</v>
      </c>
    </row>
    <row r="3833" spans="1:10" ht="26.25" hidden="1" thickBot="1" x14ac:dyDescent="0.3">
      <c r="A3833" s="227"/>
      <c r="B3833" s="225"/>
      <c r="C3833" s="36" t="s">
        <v>1239</v>
      </c>
      <c r="D3833" s="36" t="s">
        <v>94</v>
      </c>
      <c r="E3833" s="37">
        <f>ROUND(1/0.15,4)</f>
        <v>6.6666999999999996</v>
      </c>
      <c r="F3833" s="54" t="s">
        <v>572</v>
      </c>
      <c r="G3833" s="54" t="str">
        <f t="shared" si="65"/>
        <v/>
      </c>
      <c r="H3833" s="39">
        <f>SUM(G3833:G3836)</f>
        <v>108.13556735000002</v>
      </c>
      <c r="I3833" s="40"/>
      <c r="J3833" s="156">
        <v>0</v>
      </c>
    </row>
    <row r="3834" spans="1:10" ht="15.75" hidden="1" thickBot="1" x14ac:dyDescent="0.3">
      <c r="A3834" s="227"/>
      <c r="B3834" s="225"/>
      <c r="C3834" s="36" t="s">
        <v>3623</v>
      </c>
      <c r="D3834" s="36" t="s">
        <v>42</v>
      </c>
      <c r="E3834" s="37">
        <f>1.29/0.15</f>
        <v>8.6000000000000014</v>
      </c>
      <c r="F3834" s="54">
        <v>1.3109999999999999</v>
      </c>
      <c r="G3834" s="54">
        <f t="shared" si="65"/>
        <v>11.274600000000001</v>
      </c>
      <c r="H3834" s="73"/>
      <c r="I3834" s="74"/>
      <c r="J3834" s="156">
        <v>0</v>
      </c>
    </row>
    <row r="3835" spans="1:10" ht="15.75" hidden="1" thickBot="1" x14ac:dyDescent="0.3">
      <c r="A3835" s="227"/>
      <c r="B3835" s="225"/>
      <c r="C3835" s="36" t="s">
        <v>54</v>
      </c>
      <c r="D3835" s="36" t="s">
        <v>12</v>
      </c>
      <c r="E3835" s="37">
        <f>ROUND(0.547/0.15,4)</f>
        <v>3.6467000000000001</v>
      </c>
      <c r="F3835" s="54">
        <v>18.420500000000001</v>
      </c>
      <c r="G3835" s="54">
        <f t="shared" si="65"/>
        <v>67.174037350000006</v>
      </c>
      <c r="H3835" s="73"/>
      <c r="I3835" s="74"/>
      <c r="J3835" s="156">
        <v>0</v>
      </c>
    </row>
    <row r="3836" spans="1:10" ht="15.75" hidden="1" thickBot="1" x14ac:dyDescent="0.3">
      <c r="A3836" s="227"/>
      <c r="B3836" s="225"/>
      <c r="C3836" s="36" t="s">
        <v>23</v>
      </c>
      <c r="D3836" s="36" t="s">
        <v>12</v>
      </c>
      <c r="E3836" s="37">
        <f>0.273/0.15</f>
        <v>1.8200000000000003</v>
      </c>
      <c r="F3836" s="54">
        <v>16.311500000000002</v>
      </c>
      <c r="G3836" s="54">
        <f t="shared" si="65"/>
        <v>29.686930000000007</v>
      </c>
      <c r="H3836" s="73"/>
      <c r="I3836" s="74"/>
      <c r="J3836" s="156">
        <v>0</v>
      </c>
    </row>
    <row r="3837" spans="1:10" ht="15.75" hidden="1" thickBot="1" x14ac:dyDescent="0.3">
      <c r="A3837" s="227"/>
      <c r="B3837" s="225"/>
      <c r="C3837" s="36"/>
      <c r="D3837" s="36"/>
      <c r="E3837" s="37"/>
      <c r="F3837" s="54" t="s">
        <v>572</v>
      </c>
      <c r="G3837" s="54" t="str">
        <f t="shared" si="65"/>
        <v/>
      </c>
      <c r="H3837" s="73"/>
      <c r="I3837" s="74"/>
      <c r="J3837" s="156">
        <v>0</v>
      </c>
    </row>
    <row r="3838" spans="1:10" ht="15.75" hidden="1" thickBot="1" x14ac:dyDescent="0.3">
      <c r="A3838" s="221" t="s">
        <v>1240</v>
      </c>
      <c r="B3838" s="224" t="str">
        <f>INDEX(Orçamentária!A:B,MATCH(Composições!A3838,Orçamentária!A:A,0),2)</f>
        <v>Luminária LED redonda de embutir</v>
      </c>
      <c r="C3838" s="41"/>
      <c r="D3838" s="26" t="str">
        <f>TRIM(INDEX(Orçamentária!C:C,MATCH(Composições!A3838,Orçamentária!A:A,0),1))</f>
        <v>un</v>
      </c>
      <c r="E3838" s="27"/>
      <c r="F3838" s="49" t="s">
        <v>572</v>
      </c>
      <c r="G3838" s="28" t="str">
        <f t="shared" si="65"/>
        <v/>
      </c>
      <c r="H3838" s="29"/>
      <c r="I3838" s="30"/>
      <c r="J3838" s="156">
        <v>0</v>
      </c>
    </row>
    <row r="3839" spans="1:10" ht="15.75" hidden="1" thickBot="1" x14ac:dyDescent="0.3">
      <c r="A3839" s="227"/>
      <c r="B3839" s="225"/>
      <c r="C3839" s="32"/>
      <c r="D3839" s="32"/>
      <c r="E3839" s="33"/>
      <c r="F3839" s="54" t="s">
        <v>572</v>
      </c>
      <c r="G3839" s="54" t="str">
        <f t="shared" si="65"/>
        <v/>
      </c>
      <c r="H3839" s="73"/>
      <c r="I3839" s="74"/>
      <c r="J3839" s="156">
        <v>0</v>
      </c>
    </row>
    <row r="3840" spans="1:10" ht="39" hidden="1" thickBot="1" x14ac:dyDescent="0.3">
      <c r="A3840" s="227"/>
      <c r="B3840" s="225"/>
      <c r="C3840" s="36" t="s">
        <v>1241</v>
      </c>
      <c r="D3840" s="36" t="s">
        <v>150</v>
      </c>
      <c r="E3840" s="37">
        <v>1</v>
      </c>
      <c r="F3840" s="54" t="s">
        <v>572</v>
      </c>
      <c r="G3840" s="54" t="str">
        <f t="shared" si="65"/>
        <v/>
      </c>
      <c r="H3840" s="39">
        <f>SUM(G3840:G3845)</f>
        <v>10.477534800000001</v>
      </c>
      <c r="I3840" s="40"/>
      <c r="J3840" s="156">
        <v>0</v>
      </c>
    </row>
    <row r="3841" spans="1:10" ht="26.25" hidden="1" thickBot="1" x14ac:dyDescent="0.3">
      <c r="A3841" s="227"/>
      <c r="B3841" s="225"/>
      <c r="C3841" s="36" t="s">
        <v>590</v>
      </c>
      <c r="D3841" s="36" t="s">
        <v>94</v>
      </c>
      <c r="E3841" s="37">
        <v>1.5</v>
      </c>
      <c r="F3841" s="54" t="s">
        <v>572</v>
      </c>
      <c r="G3841" s="54" t="str">
        <f t="shared" si="65"/>
        <v/>
      </c>
      <c r="H3841" s="73"/>
      <c r="I3841" s="74"/>
      <c r="J3841" s="156">
        <v>0</v>
      </c>
    </row>
    <row r="3842" spans="1:10" ht="15.75" hidden="1" thickBot="1" x14ac:dyDescent="0.3">
      <c r="A3842" s="227"/>
      <c r="B3842" s="225"/>
      <c r="C3842" s="36" t="s">
        <v>591</v>
      </c>
      <c r="D3842" s="36" t="s">
        <v>150</v>
      </c>
      <c r="E3842" s="37">
        <v>1</v>
      </c>
      <c r="F3842" s="54" t="s">
        <v>572</v>
      </c>
      <c r="G3842" s="54" t="str">
        <f t="shared" si="65"/>
        <v/>
      </c>
      <c r="H3842" s="73"/>
      <c r="I3842" s="74"/>
      <c r="J3842" s="156">
        <v>0</v>
      </c>
    </row>
    <row r="3843" spans="1:10" ht="15.75" hidden="1" thickBot="1" x14ac:dyDescent="0.3">
      <c r="A3843" s="227"/>
      <c r="B3843" s="225"/>
      <c r="C3843" s="36" t="s">
        <v>592</v>
      </c>
      <c r="D3843" s="36" t="s">
        <v>150</v>
      </c>
      <c r="E3843" s="37">
        <v>1</v>
      </c>
      <c r="F3843" s="54" t="s">
        <v>572</v>
      </c>
      <c r="G3843" s="54" t="str">
        <f t="shared" si="65"/>
        <v/>
      </c>
      <c r="H3843" s="73"/>
      <c r="I3843" s="74"/>
      <c r="J3843" s="156">
        <v>0</v>
      </c>
    </row>
    <row r="3844" spans="1:10" ht="15.75" hidden="1" thickBot="1" x14ac:dyDescent="0.3">
      <c r="A3844" s="227"/>
      <c r="B3844" s="225"/>
      <c r="C3844" s="36" t="s">
        <v>74</v>
      </c>
      <c r="D3844" s="36" t="s">
        <v>12</v>
      </c>
      <c r="E3844" s="37">
        <v>0.14799999999999999</v>
      </c>
      <c r="F3844" s="54">
        <v>17.366</v>
      </c>
      <c r="G3844" s="54">
        <f t="shared" si="65"/>
        <v>2.5701679999999998</v>
      </c>
      <c r="H3844" s="73"/>
      <c r="I3844" s="74"/>
      <c r="J3844" s="156">
        <v>0</v>
      </c>
    </row>
    <row r="3845" spans="1:10" ht="15.75" hidden="1" thickBot="1" x14ac:dyDescent="0.3">
      <c r="A3845" s="227"/>
      <c r="B3845" s="225"/>
      <c r="C3845" s="36" t="s">
        <v>30</v>
      </c>
      <c r="D3845" s="36" t="s">
        <v>12</v>
      </c>
      <c r="E3845" s="37">
        <v>0.35510000000000003</v>
      </c>
      <c r="F3845" s="54">
        <v>22.268000000000001</v>
      </c>
      <c r="G3845" s="54">
        <f t="shared" si="65"/>
        <v>7.907366800000001</v>
      </c>
      <c r="H3845" s="73"/>
      <c r="I3845" s="74"/>
      <c r="J3845" s="156">
        <v>0</v>
      </c>
    </row>
    <row r="3846" spans="1:10" ht="15.75" hidden="1" thickBot="1" x14ac:dyDescent="0.3">
      <c r="A3846" s="227"/>
      <c r="B3846" s="225"/>
      <c r="C3846" s="36"/>
      <c r="D3846" s="47"/>
      <c r="E3846" s="37"/>
      <c r="F3846" s="54" t="s">
        <v>572</v>
      </c>
      <c r="G3846" s="54" t="str">
        <f t="shared" si="65"/>
        <v/>
      </c>
      <c r="H3846" s="73"/>
      <c r="I3846" s="74"/>
      <c r="J3846" s="156">
        <v>0</v>
      </c>
    </row>
    <row r="3847" spans="1:10" ht="15.75" hidden="1" thickBot="1" x14ac:dyDescent="0.3">
      <c r="A3847" s="221" t="s">
        <v>1242</v>
      </c>
      <c r="B3847" s="224" t="str">
        <f>INDEX(Orçamentária!A:B,MATCH(Composições!A3847,Orçamentária!A:A,0),2)</f>
        <v>Piso tátil de borracha</v>
      </c>
      <c r="C3847" s="41"/>
      <c r="D3847" s="26" t="str">
        <f>TRIM(INDEX(Orçamentária!C:C,MATCH(Composições!A3847,Orçamentária!A:A,0),1))</f>
        <v>m2</v>
      </c>
      <c r="E3847" s="27"/>
      <c r="F3847" s="49" t="s">
        <v>572</v>
      </c>
      <c r="G3847" s="28" t="str">
        <f t="shared" si="65"/>
        <v/>
      </c>
      <c r="H3847" s="29"/>
      <c r="I3847" s="30"/>
      <c r="J3847" s="156">
        <v>0</v>
      </c>
    </row>
    <row r="3848" spans="1:10" ht="15.75" hidden="1" thickBot="1" x14ac:dyDescent="0.3">
      <c r="A3848" s="227"/>
      <c r="B3848" s="225"/>
      <c r="C3848" s="32"/>
      <c r="D3848" s="32"/>
      <c r="E3848" s="33"/>
      <c r="F3848" s="54" t="s">
        <v>572</v>
      </c>
      <c r="G3848" s="54" t="str">
        <f t="shared" si="65"/>
        <v/>
      </c>
      <c r="H3848" s="73"/>
      <c r="I3848" s="74"/>
      <c r="J3848" s="156">
        <v>0</v>
      </c>
    </row>
    <row r="3849" spans="1:10" ht="15.75" hidden="1" thickBot="1" x14ac:dyDescent="0.3">
      <c r="A3849" s="227"/>
      <c r="B3849" s="225"/>
      <c r="C3849" s="36" t="s">
        <v>305</v>
      </c>
      <c r="D3849" s="36" t="s">
        <v>957</v>
      </c>
      <c r="E3849" s="37">
        <v>9.5000000000000001E-2</v>
      </c>
      <c r="F3849" s="54">
        <v>25.478999999999999</v>
      </c>
      <c r="G3849" s="54">
        <f t="shared" si="65"/>
        <v>2.4205049999999999</v>
      </c>
      <c r="H3849" s="39">
        <f>SUM(G3849:G3852)</f>
        <v>28.499524999999998</v>
      </c>
      <c r="I3849" s="40"/>
      <c r="J3849" s="156">
        <v>0</v>
      </c>
    </row>
    <row r="3850" spans="1:10" ht="26.25" hidden="1" thickBot="1" x14ac:dyDescent="0.3">
      <c r="A3850" s="227"/>
      <c r="B3850" s="225"/>
      <c r="C3850" s="36" t="s">
        <v>1243</v>
      </c>
      <c r="D3850" s="36" t="s">
        <v>1053</v>
      </c>
      <c r="E3850" s="37">
        <f>1*0.25*0.25</f>
        <v>6.25E-2</v>
      </c>
      <c r="F3850" s="54">
        <v>291.09899999999999</v>
      </c>
      <c r="G3850" s="54">
        <f t="shared" si="65"/>
        <v>18.193687499999999</v>
      </c>
      <c r="H3850" s="73"/>
      <c r="I3850" s="74"/>
      <c r="J3850" s="156">
        <v>0</v>
      </c>
    </row>
    <row r="3851" spans="1:10" ht="15.75" hidden="1" thickBot="1" x14ac:dyDescent="0.3">
      <c r="A3851" s="227"/>
      <c r="B3851" s="225"/>
      <c r="C3851" s="36" t="s">
        <v>768</v>
      </c>
      <c r="D3851" s="36" t="s">
        <v>759</v>
      </c>
      <c r="E3851" s="37">
        <v>0.26100000000000001</v>
      </c>
      <c r="F3851" s="54">
        <v>22.087499999999999</v>
      </c>
      <c r="G3851" s="54">
        <f t="shared" si="65"/>
        <v>5.7648374999999996</v>
      </c>
      <c r="H3851" s="73"/>
      <c r="I3851" s="74"/>
      <c r="J3851" s="156">
        <v>0</v>
      </c>
    </row>
    <row r="3852" spans="1:10" ht="15.75" hidden="1" thickBot="1" x14ac:dyDescent="0.3">
      <c r="A3852" s="227"/>
      <c r="B3852" s="225"/>
      <c r="C3852" s="36" t="s">
        <v>760</v>
      </c>
      <c r="D3852" s="36" t="s">
        <v>759</v>
      </c>
      <c r="E3852" s="37">
        <v>0.13</v>
      </c>
      <c r="F3852" s="54">
        <v>16.311500000000002</v>
      </c>
      <c r="G3852" s="54">
        <f t="shared" si="65"/>
        <v>2.1204950000000005</v>
      </c>
      <c r="H3852" s="73"/>
      <c r="I3852" s="74"/>
      <c r="J3852" s="156">
        <v>0</v>
      </c>
    </row>
    <row r="3853" spans="1:10" ht="15.75" hidden="1" thickBot="1" x14ac:dyDescent="0.3">
      <c r="A3853" s="227"/>
      <c r="B3853" s="225"/>
      <c r="C3853" s="55"/>
      <c r="D3853" s="55"/>
      <c r="E3853" s="66"/>
      <c r="F3853" s="76" t="s">
        <v>572</v>
      </c>
      <c r="G3853" s="76" t="str">
        <f t="shared" si="65"/>
        <v/>
      </c>
      <c r="H3853" s="77"/>
      <c r="I3853" s="74"/>
      <c r="J3853" s="156">
        <v>0</v>
      </c>
    </row>
    <row r="3854" spans="1:10" ht="15.75" hidden="1" thickBot="1" x14ac:dyDescent="0.3">
      <c r="A3854" s="221" t="s">
        <v>1244</v>
      </c>
      <c r="B3854" s="224" t="str">
        <f>INDEX(Orçamentária!A:B,MATCH(Composições!A3854,Orçamentária!A:A,0),2)</f>
        <v>Granito Vermelho Brasília 20 mm para divisória</v>
      </c>
      <c r="C3854" s="41"/>
      <c r="D3854" s="26" t="str">
        <f>TRIM(INDEX(Orçamentária!C:C,MATCH(Composições!A3854,Orçamentária!A:A,0),1))</f>
        <v>m2</v>
      </c>
      <c r="E3854" s="27"/>
      <c r="F3854" s="49" t="s">
        <v>572</v>
      </c>
      <c r="G3854" s="28" t="str">
        <f t="shared" si="65"/>
        <v/>
      </c>
      <c r="H3854" s="29"/>
      <c r="I3854" s="30"/>
      <c r="J3854" s="156">
        <v>0</v>
      </c>
    </row>
    <row r="3855" spans="1:10" ht="15.75" hidden="1" thickBot="1" x14ac:dyDescent="0.3">
      <c r="A3855" s="227"/>
      <c r="B3855" s="225"/>
      <c r="C3855" s="32"/>
      <c r="D3855" s="32"/>
      <c r="E3855" s="33"/>
      <c r="F3855" s="54" t="s">
        <v>572</v>
      </c>
      <c r="G3855" s="54" t="str">
        <f t="shared" si="65"/>
        <v/>
      </c>
      <c r="H3855" s="73"/>
      <c r="I3855" s="74"/>
      <c r="J3855" s="156">
        <v>0</v>
      </c>
    </row>
    <row r="3856" spans="1:10" ht="15.75" hidden="1" thickBot="1" x14ac:dyDescent="0.3">
      <c r="A3856" s="227"/>
      <c r="B3856" s="225"/>
      <c r="C3856" s="36" t="s">
        <v>263</v>
      </c>
      <c r="D3856" s="36" t="s">
        <v>42</v>
      </c>
      <c r="E3856" s="37">
        <v>0.7</v>
      </c>
      <c r="F3856" s="54">
        <v>1.4915</v>
      </c>
      <c r="G3856" s="54">
        <f t="shared" si="65"/>
        <v>1.0440499999999999</v>
      </c>
      <c r="H3856" s="39">
        <f>SUM(G3856:G3860)</f>
        <v>128.53956739885652</v>
      </c>
      <c r="I3856" s="40"/>
      <c r="J3856" s="156">
        <v>0</v>
      </c>
    </row>
    <row r="3857" spans="1:10" ht="26.25" hidden="1" thickBot="1" x14ac:dyDescent="0.3">
      <c r="A3857" s="227"/>
      <c r="B3857" s="225"/>
      <c r="C3857" s="36" t="s">
        <v>1245</v>
      </c>
      <c r="D3857" s="36" t="s">
        <v>96</v>
      </c>
      <c r="E3857" s="37">
        <v>1</v>
      </c>
      <c r="F3857" s="54" t="s">
        <v>572</v>
      </c>
      <c r="G3857" s="54" t="str">
        <f t="shared" si="65"/>
        <v/>
      </c>
      <c r="H3857" s="73"/>
      <c r="I3857" s="74"/>
      <c r="J3857" s="156">
        <v>0</v>
      </c>
    </row>
    <row r="3858" spans="1:10" ht="15.75" hidden="1" thickBot="1" x14ac:dyDescent="0.3">
      <c r="A3858" s="227"/>
      <c r="B3858" s="225"/>
      <c r="C3858" s="36" t="s">
        <v>54</v>
      </c>
      <c r="D3858" s="36" t="s">
        <v>12</v>
      </c>
      <c r="E3858" s="37">
        <v>4.8</v>
      </c>
      <c r="F3858" s="54">
        <v>18.420500000000001</v>
      </c>
      <c r="G3858" s="54">
        <f t="shared" ref="G3858:G3921" si="66">IF(ISNUMBER(F3858),E3858*F3858,"")</f>
        <v>88.418400000000005</v>
      </c>
      <c r="H3858" s="73"/>
      <c r="I3858" s="74"/>
      <c r="J3858" s="156">
        <v>0</v>
      </c>
    </row>
    <row r="3859" spans="1:10" ht="15.75" hidden="1" thickBot="1" x14ac:dyDescent="0.3">
      <c r="A3859" s="227"/>
      <c r="B3859" s="225"/>
      <c r="C3859" s="36" t="s">
        <v>23</v>
      </c>
      <c r="D3859" s="36" t="s">
        <v>12</v>
      </c>
      <c r="E3859" s="37">
        <v>2.2999999999999998</v>
      </c>
      <c r="F3859" s="54">
        <v>16.311500000000002</v>
      </c>
      <c r="G3859" s="54">
        <f t="shared" si="66"/>
        <v>37.516449999999999</v>
      </c>
      <c r="H3859" s="73"/>
      <c r="I3859" s="74"/>
      <c r="J3859" s="156">
        <v>0</v>
      </c>
    </row>
    <row r="3860" spans="1:10" ht="26.25" hidden="1" thickBot="1" x14ac:dyDescent="0.3">
      <c r="A3860" s="227"/>
      <c r="B3860" s="225"/>
      <c r="C3860" s="36" t="s">
        <v>265</v>
      </c>
      <c r="D3860" s="36" t="s">
        <v>112</v>
      </c>
      <c r="E3860" s="37">
        <v>3.3E-3</v>
      </c>
      <c r="F3860" s="54">
        <v>472.92951480499994</v>
      </c>
      <c r="G3860" s="54">
        <f t="shared" si="66"/>
        <v>1.5606673988564999</v>
      </c>
      <c r="H3860" s="73"/>
      <c r="I3860" s="74"/>
      <c r="J3860" s="156">
        <v>0</v>
      </c>
    </row>
    <row r="3861" spans="1:10" ht="15.75" hidden="1" thickBot="1" x14ac:dyDescent="0.3">
      <c r="A3861" s="227"/>
      <c r="B3861" s="225"/>
      <c r="C3861" s="36"/>
      <c r="D3861" s="36"/>
      <c r="E3861" s="37"/>
      <c r="F3861" s="54" t="s">
        <v>572</v>
      </c>
      <c r="G3861" s="54" t="str">
        <f t="shared" si="66"/>
        <v/>
      </c>
      <c r="H3861" s="73"/>
      <c r="I3861" s="74"/>
      <c r="J3861" s="156">
        <v>0</v>
      </c>
    </row>
    <row r="3862" spans="1:10" ht="15.75" hidden="1" thickBot="1" x14ac:dyDescent="0.3">
      <c r="A3862" s="221" t="s">
        <v>1246</v>
      </c>
      <c r="B3862" s="224" t="str">
        <f>INDEX(Orçamentária!A:B,MATCH(Composições!A3862,Orçamentária!A:A,0),2)</f>
        <v>Tampa em ferro fundido 20x20 cm</v>
      </c>
      <c r="C3862" s="41"/>
      <c r="D3862" s="26" t="str">
        <f>TRIM(INDEX(Orçamentária!C:C,MATCH(Composições!A3862,Orçamentária!A:A,0),1))</f>
        <v>un</v>
      </c>
      <c r="E3862" s="27"/>
      <c r="F3862" s="49" t="s">
        <v>572</v>
      </c>
      <c r="G3862" s="28" t="str">
        <f t="shared" si="66"/>
        <v/>
      </c>
      <c r="H3862" s="29"/>
      <c r="I3862" s="30"/>
      <c r="J3862" s="156">
        <v>0</v>
      </c>
    </row>
    <row r="3863" spans="1:10" ht="15.75" hidden="1" thickBot="1" x14ac:dyDescent="0.3">
      <c r="A3863" s="227"/>
      <c r="B3863" s="225"/>
      <c r="C3863" s="32"/>
      <c r="D3863" s="32"/>
      <c r="E3863" s="33"/>
      <c r="F3863" s="54" t="s">
        <v>572</v>
      </c>
      <c r="G3863" s="54" t="str">
        <f t="shared" si="66"/>
        <v/>
      </c>
      <c r="H3863" s="73"/>
      <c r="I3863" s="74"/>
      <c r="J3863" s="156">
        <v>0</v>
      </c>
    </row>
    <row r="3864" spans="1:10" ht="26.25" hidden="1" thickBot="1" x14ac:dyDescent="0.3">
      <c r="A3864" s="227"/>
      <c r="B3864" s="225"/>
      <c r="C3864" s="36" t="s">
        <v>1247</v>
      </c>
      <c r="D3864" s="47" t="s">
        <v>299</v>
      </c>
      <c r="E3864" s="37">
        <v>1</v>
      </c>
      <c r="F3864" s="54">
        <v>98.971000000000004</v>
      </c>
      <c r="G3864" s="54">
        <f t="shared" si="66"/>
        <v>98.971000000000004</v>
      </c>
      <c r="H3864" s="39">
        <f>SUM(G3864:G3867)</f>
        <v>167.05094688939801</v>
      </c>
      <c r="I3864" s="40"/>
      <c r="J3864" s="156">
        <v>0</v>
      </c>
    </row>
    <row r="3865" spans="1:10" ht="39" hidden="1" thickBot="1" x14ac:dyDescent="0.3">
      <c r="A3865" s="227"/>
      <c r="B3865" s="225"/>
      <c r="C3865" s="36" t="s">
        <v>1063</v>
      </c>
      <c r="D3865" s="47" t="s">
        <v>124</v>
      </c>
      <c r="E3865" s="37">
        <v>7.0000000000000001E-3</v>
      </c>
      <c r="F3865" s="54">
        <v>400.23526991400001</v>
      </c>
      <c r="G3865" s="54">
        <f t="shared" si="66"/>
        <v>2.801646889398</v>
      </c>
      <c r="H3865" s="73"/>
      <c r="I3865" s="74"/>
      <c r="J3865" s="156">
        <v>0</v>
      </c>
    </row>
    <row r="3866" spans="1:10" ht="15.75" hidden="1" thickBot="1" x14ac:dyDescent="0.3">
      <c r="A3866" s="227"/>
      <c r="B3866" s="225"/>
      <c r="C3866" s="36" t="s">
        <v>22</v>
      </c>
      <c r="D3866" s="36" t="s">
        <v>12</v>
      </c>
      <c r="E3866" s="37">
        <v>1.7</v>
      </c>
      <c r="F3866" s="54">
        <v>22.087499999999999</v>
      </c>
      <c r="G3866" s="54">
        <f t="shared" si="66"/>
        <v>37.548749999999998</v>
      </c>
      <c r="H3866" s="73"/>
      <c r="I3866" s="74"/>
      <c r="J3866" s="156">
        <v>0</v>
      </c>
    </row>
    <row r="3867" spans="1:10" ht="15.75" hidden="1" thickBot="1" x14ac:dyDescent="0.3">
      <c r="A3867" s="227"/>
      <c r="B3867" s="225"/>
      <c r="C3867" s="36" t="s">
        <v>23</v>
      </c>
      <c r="D3867" s="36" t="s">
        <v>12</v>
      </c>
      <c r="E3867" s="37">
        <v>1.7</v>
      </c>
      <c r="F3867" s="54">
        <v>16.311500000000002</v>
      </c>
      <c r="G3867" s="54">
        <f t="shared" si="66"/>
        <v>27.729550000000003</v>
      </c>
      <c r="H3867" s="73"/>
      <c r="I3867" s="74"/>
      <c r="J3867" s="156">
        <v>0</v>
      </c>
    </row>
    <row r="3868" spans="1:10" ht="15.75" hidden="1" thickBot="1" x14ac:dyDescent="0.3">
      <c r="A3868" s="227"/>
      <c r="B3868" s="225"/>
      <c r="C3868" s="55"/>
      <c r="D3868" s="55"/>
      <c r="E3868" s="66"/>
      <c r="F3868" s="76" t="s">
        <v>572</v>
      </c>
      <c r="G3868" s="76" t="str">
        <f t="shared" si="66"/>
        <v/>
      </c>
      <c r="H3868" s="77"/>
      <c r="I3868" s="74"/>
      <c r="J3868" s="156">
        <v>0</v>
      </c>
    </row>
    <row r="3869" spans="1:10" ht="15.75" hidden="1" thickBot="1" x14ac:dyDescent="0.3">
      <c r="A3869" s="221" t="s">
        <v>1248</v>
      </c>
      <c r="B3869" s="224" t="str">
        <f>INDEX(Orçamentária!A:B,MATCH(Composições!A3869,Orçamentária!A:A,0),2)</f>
        <v>Cerâmica para revestimento de superfícies internas ou externas – Linha GAIL</v>
      </c>
      <c r="C3869" s="41"/>
      <c r="D3869" s="26" t="str">
        <f>TRIM(INDEX(Orçamentária!C:C,MATCH(Composições!A3869,Orçamentária!A:A,0),1))</f>
        <v>m2</v>
      </c>
      <c r="E3869" s="27"/>
      <c r="F3869" s="49" t="s">
        <v>572</v>
      </c>
      <c r="G3869" s="28" t="str">
        <f t="shared" si="66"/>
        <v/>
      </c>
      <c r="H3869" s="29"/>
      <c r="I3869" s="30"/>
      <c r="J3869" s="156">
        <v>0</v>
      </c>
    </row>
    <row r="3870" spans="1:10" ht="15.75" hidden="1" thickBot="1" x14ac:dyDescent="0.3">
      <c r="A3870" s="227"/>
      <c r="B3870" s="225"/>
      <c r="C3870" s="32"/>
      <c r="D3870" s="32"/>
      <c r="E3870" s="33"/>
      <c r="F3870" s="54" t="s">
        <v>572</v>
      </c>
      <c r="G3870" s="54" t="str">
        <f t="shared" si="66"/>
        <v/>
      </c>
      <c r="H3870" s="73"/>
      <c r="I3870" s="74"/>
      <c r="J3870" s="156">
        <v>0</v>
      </c>
    </row>
    <row r="3871" spans="1:10" ht="26.25" hidden="1" thickBot="1" x14ac:dyDescent="0.3">
      <c r="A3871" s="227"/>
      <c r="B3871" s="225"/>
      <c r="C3871" s="36" t="s">
        <v>1249</v>
      </c>
      <c r="D3871" s="36" t="s">
        <v>96</v>
      </c>
      <c r="E3871" s="37">
        <v>1.08</v>
      </c>
      <c r="F3871" s="54" t="s">
        <v>572</v>
      </c>
      <c r="G3871" s="54" t="str">
        <f t="shared" si="66"/>
        <v/>
      </c>
      <c r="H3871" s="39">
        <f>SUM(G3871:G3875)</f>
        <v>25.792880000000004</v>
      </c>
      <c r="I3871" s="40"/>
      <c r="J3871" s="156">
        <v>0</v>
      </c>
    </row>
    <row r="3872" spans="1:10" ht="15.75" hidden="1" thickBot="1" x14ac:dyDescent="0.3">
      <c r="A3872" s="227"/>
      <c r="B3872" s="225"/>
      <c r="C3872" s="36" t="s">
        <v>3624</v>
      </c>
      <c r="D3872" s="36" t="s">
        <v>42</v>
      </c>
      <c r="E3872" s="37">
        <v>6.14</v>
      </c>
      <c r="F3872" s="54">
        <v>0.78849999999999998</v>
      </c>
      <c r="G3872" s="54">
        <f t="shared" si="66"/>
        <v>4.8413899999999996</v>
      </c>
      <c r="H3872" s="73"/>
      <c r="I3872" s="74"/>
      <c r="J3872" s="156">
        <v>0</v>
      </c>
    </row>
    <row r="3873" spans="1:10" ht="15.75" hidden="1" thickBot="1" x14ac:dyDescent="0.3">
      <c r="A3873" s="227"/>
      <c r="B3873" s="225"/>
      <c r="C3873" s="36" t="s">
        <v>3622</v>
      </c>
      <c r="D3873" s="36" t="s">
        <v>42</v>
      </c>
      <c r="E3873" s="37">
        <v>0.22</v>
      </c>
      <c r="F3873" s="54">
        <v>2.508</v>
      </c>
      <c r="G3873" s="54">
        <f t="shared" si="66"/>
        <v>0.55176000000000003</v>
      </c>
      <c r="H3873" s="73"/>
      <c r="I3873" s="74"/>
      <c r="J3873" s="156">
        <v>0</v>
      </c>
    </row>
    <row r="3874" spans="1:10" ht="15.75" hidden="1" thickBot="1" x14ac:dyDescent="0.3">
      <c r="A3874" s="227"/>
      <c r="B3874" s="225"/>
      <c r="C3874" s="36" t="s">
        <v>36</v>
      </c>
      <c r="D3874" s="36" t="s">
        <v>12</v>
      </c>
      <c r="E3874" s="37">
        <v>0.66</v>
      </c>
      <c r="F3874" s="54">
        <v>22.011500000000002</v>
      </c>
      <c r="G3874" s="54">
        <f t="shared" si="66"/>
        <v>14.527590000000002</v>
      </c>
      <c r="H3874" s="73"/>
      <c r="I3874" s="74"/>
      <c r="J3874" s="156">
        <v>0</v>
      </c>
    </row>
    <row r="3875" spans="1:10" ht="15.75" hidden="1" thickBot="1" x14ac:dyDescent="0.3">
      <c r="A3875" s="227"/>
      <c r="B3875" s="225"/>
      <c r="C3875" s="36" t="s">
        <v>23</v>
      </c>
      <c r="D3875" s="36" t="s">
        <v>12</v>
      </c>
      <c r="E3875" s="37">
        <v>0.36</v>
      </c>
      <c r="F3875" s="54">
        <v>16.311500000000002</v>
      </c>
      <c r="G3875" s="54">
        <f t="shared" si="66"/>
        <v>5.8721400000000008</v>
      </c>
      <c r="H3875" s="73"/>
      <c r="I3875" s="74"/>
      <c r="J3875" s="156">
        <v>0</v>
      </c>
    </row>
    <row r="3876" spans="1:10" ht="15.75" hidden="1" thickBot="1" x14ac:dyDescent="0.3">
      <c r="A3876" s="227"/>
      <c r="B3876" s="225"/>
      <c r="C3876" s="36"/>
      <c r="D3876" s="47"/>
      <c r="E3876" s="37"/>
      <c r="F3876" s="54" t="s">
        <v>572</v>
      </c>
      <c r="G3876" s="54" t="str">
        <f t="shared" si="66"/>
        <v/>
      </c>
      <c r="H3876" s="73"/>
      <c r="I3876" s="74"/>
      <c r="J3876" s="156">
        <v>0</v>
      </c>
    </row>
    <row r="3877" spans="1:10" ht="15.75" hidden="1" thickBot="1" x14ac:dyDescent="0.3">
      <c r="A3877" s="221" t="s">
        <v>1250</v>
      </c>
      <c r="B3877" s="224" t="str">
        <f>INDEX(Orçamentária!A:B,MATCH(Composições!A3877,Orçamentária!A:A,0),2)</f>
        <v>Aterro de vala com areia média e compactação mecanizada</v>
      </c>
      <c r="C3877" s="41"/>
      <c r="D3877" s="26" t="str">
        <f>TRIM(INDEX(Orçamentária!C:C,MATCH(Composições!A3877,Orçamentária!A:A,0),1))</f>
        <v>m3</v>
      </c>
      <c r="E3877" s="27"/>
      <c r="F3877" s="49" t="s">
        <v>572</v>
      </c>
      <c r="G3877" s="28" t="str">
        <f t="shared" si="66"/>
        <v/>
      </c>
      <c r="H3877" s="29"/>
      <c r="I3877" s="30"/>
      <c r="J3877" s="156">
        <v>0</v>
      </c>
    </row>
    <row r="3878" spans="1:10" ht="15.75" hidden="1" thickBot="1" x14ac:dyDescent="0.3">
      <c r="A3878" s="227"/>
      <c r="B3878" s="225"/>
      <c r="C3878" s="32"/>
      <c r="D3878" s="32"/>
      <c r="E3878" s="33"/>
      <c r="F3878" s="54" t="s">
        <v>572</v>
      </c>
      <c r="G3878" s="54" t="str">
        <f t="shared" si="66"/>
        <v/>
      </c>
      <c r="H3878" s="73"/>
      <c r="I3878" s="74"/>
      <c r="J3878" s="156">
        <v>0</v>
      </c>
    </row>
    <row r="3879" spans="1:10" ht="26.25" hidden="1" thickBot="1" x14ac:dyDescent="0.3">
      <c r="A3879" s="227"/>
      <c r="B3879" s="225"/>
      <c r="C3879" s="36" t="s">
        <v>1251</v>
      </c>
      <c r="D3879" s="47" t="s">
        <v>124</v>
      </c>
      <c r="E3879" s="37">
        <v>1.25</v>
      </c>
      <c r="F3879" s="54">
        <v>84.474000000000004</v>
      </c>
      <c r="G3879" s="54">
        <f t="shared" si="66"/>
        <v>105.5925</v>
      </c>
      <c r="H3879" s="39">
        <f>SUM(G3879:G3886)</f>
        <v>181.9203366875</v>
      </c>
      <c r="I3879" s="40"/>
      <c r="J3879" s="156">
        <v>0</v>
      </c>
    </row>
    <row r="3880" spans="1:10" ht="51.75" hidden="1" thickBot="1" x14ac:dyDescent="0.3">
      <c r="A3880" s="227"/>
      <c r="B3880" s="225"/>
      <c r="C3880" s="36" t="s">
        <v>1006</v>
      </c>
      <c r="D3880" s="47" t="s">
        <v>1001</v>
      </c>
      <c r="E3880" s="37">
        <v>6.0000000000000001E-3</v>
      </c>
      <c r="F3880" s="54">
        <v>195.83299999999997</v>
      </c>
      <c r="G3880" s="54">
        <f t="shared" si="66"/>
        <v>1.1749979999999998</v>
      </c>
      <c r="H3880" s="73"/>
      <c r="I3880" s="74"/>
      <c r="J3880" s="156">
        <v>0</v>
      </c>
    </row>
    <row r="3881" spans="1:10" ht="51.75" hidden="1" thickBot="1" x14ac:dyDescent="0.3">
      <c r="A3881" s="227"/>
      <c r="B3881" s="225"/>
      <c r="C3881" s="36" t="s">
        <v>1007</v>
      </c>
      <c r="D3881" s="36" t="s">
        <v>1003</v>
      </c>
      <c r="E3881" s="37">
        <v>3.0000000000000001E-3</v>
      </c>
      <c r="F3881" s="54">
        <v>37.287500000000001</v>
      </c>
      <c r="G3881" s="54">
        <f t="shared" si="66"/>
        <v>0.1118625</v>
      </c>
      <c r="H3881" s="73"/>
      <c r="I3881" s="74"/>
      <c r="J3881" s="156">
        <v>0</v>
      </c>
    </row>
    <row r="3882" spans="1:10" ht="15.75" hidden="1" thickBot="1" x14ac:dyDescent="0.3">
      <c r="A3882" s="227"/>
      <c r="B3882" s="225"/>
      <c r="C3882" s="36" t="s">
        <v>760</v>
      </c>
      <c r="D3882" s="36" t="s">
        <v>759</v>
      </c>
      <c r="E3882" s="37">
        <v>0.65900000000000003</v>
      </c>
      <c r="F3882" s="54">
        <v>16.311500000000002</v>
      </c>
      <c r="G3882" s="54">
        <f t="shared" si="66"/>
        <v>10.749278500000003</v>
      </c>
      <c r="H3882" s="73"/>
      <c r="I3882" s="74"/>
      <c r="J3882" s="156">
        <v>0</v>
      </c>
    </row>
    <row r="3883" spans="1:10" ht="39" hidden="1" thickBot="1" x14ac:dyDescent="0.3">
      <c r="A3883" s="227"/>
      <c r="B3883" s="225"/>
      <c r="C3883" s="36" t="s">
        <v>1000</v>
      </c>
      <c r="D3883" s="47" t="s">
        <v>1001</v>
      </c>
      <c r="E3883" s="37">
        <v>0.27400000000000002</v>
      </c>
      <c r="F3883" s="54">
        <v>24.291499999999999</v>
      </c>
      <c r="G3883" s="54">
        <f t="shared" si="66"/>
        <v>6.6558710000000003</v>
      </c>
      <c r="H3883" s="73"/>
      <c r="I3883" s="74"/>
      <c r="J3883" s="156">
        <v>0</v>
      </c>
    </row>
    <row r="3884" spans="1:10" ht="39" hidden="1" thickBot="1" x14ac:dyDescent="0.3">
      <c r="A3884" s="227"/>
      <c r="B3884" s="225"/>
      <c r="C3884" s="36" t="s">
        <v>1002</v>
      </c>
      <c r="D3884" s="47" t="s">
        <v>1003</v>
      </c>
      <c r="E3884" s="37">
        <v>0.254</v>
      </c>
      <c r="F3884" s="54">
        <v>17.974</v>
      </c>
      <c r="G3884" s="54">
        <f t="shared" si="66"/>
        <v>4.5653959999999998</v>
      </c>
      <c r="H3884" s="73"/>
      <c r="I3884" s="74"/>
      <c r="J3884" s="156">
        <v>0</v>
      </c>
    </row>
    <row r="3885" spans="1:10" ht="51.75" hidden="1" thickBot="1" x14ac:dyDescent="0.3">
      <c r="A3885" s="227"/>
      <c r="B3885" s="225"/>
      <c r="C3885" s="36" t="s">
        <v>3619</v>
      </c>
      <c r="D3885" s="36" t="s">
        <v>112</v>
      </c>
      <c r="E3885" s="37">
        <f>1*E3879</f>
        <v>1.25</v>
      </c>
      <c r="F3885" s="34">
        <v>5.5686425499999999</v>
      </c>
      <c r="G3885" s="34">
        <f t="shared" si="66"/>
        <v>6.9608031874999998</v>
      </c>
      <c r="H3885" s="35"/>
      <c r="I3885" s="31"/>
      <c r="J3885" s="156">
        <v>0</v>
      </c>
    </row>
    <row r="3886" spans="1:10" ht="39" hidden="1" thickBot="1" x14ac:dyDescent="0.3">
      <c r="A3886" s="227"/>
      <c r="B3886" s="225"/>
      <c r="C3886" s="36" t="s">
        <v>125</v>
      </c>
      <c r="D3886" s="47" t="s">
        <v>126</v>
      </c>
      <c r="E3886" s="37">
        <f>E3879*20</f>
        <v>25</v>
      </c>
      <c r="F3886" s="54">
        <v>1.8443850999999998</v>
      </c>
      <c r="G3886" s="54">
        <f t="shared" si="66"/>
        <v>46.109627499999995</v>
      </c>
      <c r="H3886" s="73"/>
      <c r="I3886" s="74"/>
      <c r="J3886" s="156">
        <v>0</v>
      </c>
    </row>
    <row r="3887" spans="1:10" ht="15.75" hidden="1" thickBot="1" x14ac:dyDescent="0.3">
      <c r="A3887" s="227"/>
      <c r="B3887" s="225"/>
      <c r="C3887" s="51"/>
      <c r="D3887" s="47"/>
      <c r="E3887" s="37"/>
      <c r="F3887" s="54" t="s">
        <v>572</v>
      </c>
      <c r="G3887" s="54" t="str">
        <f t="shared" si="66"/>
        <v/>
      </c>
      <c r="H3887" s="73"/>
      <c r="I3887" s="74"/>
      <c r="J3887" s="156">
        <v>0</v>
      </c>
    </row>
    <row r="3888" spans="1:10" ht="15.75" hidden="1" thickBot="1" x14ac:dyDescent="0.3">
      <c r="A3888" s="227"/>
      <c r="B3888" s="225"/>
      <c r="C3888" s="48" t="s">
        <v>812</v>
      </c>
      <c r="D3888" s="47"/>
      <c r="E3888" s="37"/>
      <c r="F3888" s="54" t="s">
        <v>572</v>
      </c>
      <c r="G3888" s="54" t="str">
        <f t="shared" si="66"/>
        <v/>
      </c>
      <c r="H3888" s="73"/>
      <c r="I3888" s="74"/>
      <c r="J3888" s="156">
        <v>0</v>
      </c>
    </row>
    <row r="3889" spans="1:10" ht="15.75" hidden="1" thickBot="1" x14ac:dyDescent="0.3">
      <c r="A3889" s="227"/>
      <c r="B3889" s="225"/>
      <c r="C3889" s="55"/>
      <c r="D3889" s="55"/>
      <c r="E3889" s="66"/>
      <c r="F3889" s="76" t="s">
        <v>572</v>
      </c>
      <c r="G3889" s="76" t="str">
        <f t="shared" si="66"/>
        <v/>
      </c>
      <c r="H3889" s="77"/>
      <c r="I3889" s="74"/>
      <c r="J3889" s="156">
        <v>0</v>
      </c>
    </row>
    <row r="3890" spans="1:10" ht="15.75" hidden="1" thickBot="1" x14ac:dyDescent="0.3">
      <c r="A3890" s="221" t="s">
        <v>1252</v>
      </c>
      <c r="B3890" s="224" t="str">
        <f>INDEX(Orçamentária!A:B,MATCH(Composições!A3890,Orçamentária!A:A,0),2)</f>
        <v>Guarda-corpo panorâmico</v>
      </c>
      <c r="C3890" s="41"/>
      <c r="D3890" s="26" t="str">
        <f>TRIM(INDEX(Orçamentária!C:C,MATCH(Composições!A3890,Orçamentária!A:A,0),1))</f>
        <v>m</v>
      </c>
      <c r="E3890" s="27"/>
      <c r="F3890" s="49" t="s">
        <v>572</v>
      </c>
      <c r="G3890" s="28" t="str">
        <f t="shared" si="66"/>
        <v/>
      </c>
      <c r="H3890" s="29"/>
      <c r="I3890" s="30"/>
      <c r="J3890" s="156">
        <v>0</v>
      </c>
    </row>
    <row r="3891" spans="1:10" ht="15.75" hidden="1" thickBot="1" x14ac:dyDescent="0.3">
      <c r="A3891" s="227"/>
      <c r="B3891" s="225"/>
      <c r="C3891" s="32"/>
      <c r="D3891" s="32"/>
      <c r="E3891" s="33"/>
      <c r="F3891" s="54" t="s">
        <v>572</v>
      </c>
      <c r="G3891" s="54" t="str">
        <f t="shared" si="66"/>
        <v/>
      </c>
      <c r="H3891" s="73"/>
      <c r="I3891" s="74"/>
      <c r="J3891" s="156">
        <v>0</v>
      </c>
    </row>
    <row r="3892" spans="1:10" ht="15.75" hidden="1" thickBot="1" x14ac:dyDescent="0.3">
      <c r="A3892" s="227"/>
      <c r="B3892" s="225"/>
      <c r="C3892" s="36" t="s">
        <v>1253</v>
      </c>
      <c r="D3892" s="47" t="s">
        <v>957</v>
      </c>
      <c r="E3892" s="37">
        <v>1.4</v>
      </c>
      <c r="F3892" s="54">
        <v>9.5759999999999987</v>
      </c>
      <c r="G3892" s="54">
        <f t="shared" si="66"/>
        <v>13.406399999999998</v>
      </c>
      <c r="H3892" s="39">
        <f>SUM(G3892:G3901)</f>
        <v>802.80633499999999</v>
      </c>
      <c r="I3892" s="40"/>
      <c r="J3892" s="156">
        <v>0</v>
      </c>
    </row>
    <row r="3893" spans="1:10" ht="15.75" hidden="1" thickBot="1" x14ac:dyDescent="0.3">
      <c r="A3893" s="227"/>
      <c r="B3893" s="225"/>
      <c r="C3893" s="36" t="s">
        <v>1254</v>
      </c>
      <c r="D3893" s="47" t="s">
        <v>957</v>
      </c>
      <c r="E3893" s="37">
        <v>3.0000000000000001E-3</v>
      </c>
      <c r="F3893" s="54">
        <v>18.1355</v>
      </c>
      <c r="G3893" s="54">
        <f t="shared" si="66"/>
        <v>5.4406500000000003E-2</v>
      </c>
      <c r="H3893" s="73"/>
      <c r="I3893" s="74"/>
      <c r="J3893" s="156">
        <v>0</v>
      </c>
    </row>
    <row r="3894" spans="1:10" ht="26.25" hidden="1" thickBot="1" x14ac:dyDescent="0.3">
      <c r="A3894" s="227"/>
      <c r="B3894" s="225"/>
      <c r="C3894" s="36" t="s">
        <v>1098</v>
      </c>
      <c r="D3894" s="36" t="s">
        <v>299</v>
      </c>
      <c r="E3894" s="37">
        <v>3.3330000000000002</v>
      </c>
      <c r="F3894" s="54">
        <v>1.159</v>
      </c>
      <c r="G3894" s="54">
        <f t="shared" si="66"/>
        <v>3.8629470000000001</v>
      </c>
      <c r="H3894" s="73"/>
      <c r="I3894" s="74"/>
      <c r="J3894" s="156">
        <v>0</v>
      </c>
    </row>
    <row r="3895" spans="1:10" ht="39" hidden="1" thickBot="1" x14ac:dyDescent="0.3">
      <c r="A3895" s="227"/>
      <c r="B3895" s="225"/>
      <c r="C3895" s="36" t="s">
        <v>1255</v>
      </c>
      <c r="D3895" s="36" t="s">
        <v>299</v>
      </c>
      <c r="E3895" s="37">
        <v>5</v>
      </c>
      <c r="F3895" s="54">
        <v>0.2185</v>
      </c>
      <c r="G3895" s="54">
        <f t="shared" si="66"/>
        <v>1.0925</v>
      </c>
      <c r="H3895" s="73"/>
      <c r="I3895" s="74"/>
      <c r="J3895" s="156">
        <v>0</v>
      </c>
    </row>
    <row r="3896" spans="1:10" ht="26.25" hidden="1" thickBot="1" x14ac:dyDescent="0.3">
      <c r="A3896" s="227"/>
      <c r="B3896" s="225"/>
      <c r="C3896" s="36" t="s">
        <v>1256</v>
      </c>
      <c r="D3896" s="36" t="s">
        <v>527</v>
      </c>
      <c r="E3896" s="37">
        <v>3.149</v>
      </c>
      <c r="F3896" s="54">
        <v>10.26</v>
      </c>
      <c r="G3896" s="54">
        <f t="shared" si="66"/>
        <v>32.30874</v>
      </c>
      <c r="H3896" s="73"/>
      <c r="I3896" s="74"/>
      <c r="J3896" s="156">
        <v>0</v>
      </c>
    </row>
    <row r="3897" spans="1:10" ht="15.75" hidden="1" thickBot="1" x14ac:dyDescent="0.3">
      <c r="A3897" s="227"/>
      <c r="B3897" s="225"/>
      <c r="C3897" s="36" t="s">
        <v>893</v>
      </c>
      <c r="D3897" s="36" t="s">
        <v>957</v>
      </c>
      <c r="E3897" s="37">
        <v>3.4089999999999998</v>
      </c>
      <c r="F3897" s="54">
        <v>36.128500000000003</v>
      </c>
      <c r="G3897" s="54">
        <f t="shared" si="66"/>
        <v>123.16205650000001</v>
      </c>
      <c r="H3897" s="73"/>
      <c r="I3897" s="74"/>
      <c r="J3897" s="156">
        <v>0</v>
      </c>
    </row>
    <row r="3898" spans="1:10" ht="26.25" hidden="1" thickBot="1" x14ac:dyDescent="0.3">
      <c r="A3898" s="227"/>
      <c r="B3898" s="225"/>
      <c r="C3898" s="36" t="s">
        <v>1257</v>
      </c>
      <c r="D3898" s="36" t="s">
        <v>1053</v>
      </c>
      <c r="E3898" s="37">
        <v>0.998</v>
      </c>
      <c r="F3898" s="54">
        <v>491.10250000000002</v>
      </c>
      <c r="G3898" s="54">
        <f t="shared" si="66"/>
        <v>490.120295</v>
      </c>
      <c r="H3898" s="73"/>
      <c r="I3898" s="74"/>
      <c r="J3898" s="156">
        <v>0</v>
      </c>
    </row>
    <row r="3899" spans="1:10" ht="15.75" hidden="1" thickBot="1" x14ac:dyDescent="0.3">
      <c r="A3899" s="227"/>
      <c r="B3899" s="225"/>
      <c r="C3899" s="36" t="s">
        <v>1194</v>
      </c>
      <c r="D3899" s="47" t="s">
        <v>299</v>
      </c>
      <c r="E3899" s="37">
        <v>0.85499999999999998</v>
      </c>
      <c r="F3899" s="54">
        <v>18.515499999999999</v>
      </c>
      <c r="G3899" s="54">
        <f t="shared" si="66"/>
        <v>15.830752499999999</v>
      </c>
      <c r="H3899" s="73"/>
      <c r="I3899" s="74"/>
      <c r="J3899" s="156">
        <v>0</v>
      </c>
    </row>
    <row r="3900" spans="1:10" ht="15.75" hidden="1" thickBot="1" x14ac:dyDescent="0.3">
      <c r="A3900" s="227"/>
      <c r="B3900" s="225"/>
      <c r="C3900" s="36" t="s">
        <v>845</v>
      </c>
      <c r="D3900" s="47" t="s">
        <v>759</v>
      </c>
      <c r="E3900" s="37">
        <v>2.754</v>
      </c>
      <c r="F3900" s="54">
        <v>17.898</v>
      </c>
      <c r="G3900" s="54">
        <f t="shared" si="66"/>
        <v>49.291091999999999</v>
      </c>
      <c r="H3900" s="73"/>
      <c r="I3900" s="74"/>
      <c r="J3900" s="156">
        <v>0</v>
      </c>
    </row>
    <row r="3901" spans="1:10" ht="15.75" hidden="1" thickBot="1" x14ac:dyDescent="0.3">
      <c r="A3901" s="227"/>
      <c r="B3901" s="225"/>
      <c r="C3901" s="36" t="s">
        <v>1258</v>
      </c>
      <c r="D3901" s="47" t="s">
        <v>759</v>
      </c>
      <c r="E3901" s="37">
        <v>3.3530000000000002</v>
      </c>
      <c r="F3901" s="54">
        <v>21.973499999999998</v>
      </c>
      <c r="G3901" s="54">
        <f t="shared" si="66"/>
        <v>73.677145499999995</v>
      </c>
      <c r="H3901" s="73"/>
      <c r="I3901" s="74"/>
      <c r="J3901" s="156">
        <v>0</v>
      </c>
    </row>
    <row r="3902" spans="1:10" ht="15.75" hidden="1" thickBot="1" x14ac:dyDescent="0.3">
      <c r="A3902" s="228"/>
      <c r="B3902" s="226"/>
      <c r="C3902" s="55"/>
      <c r="D3902" s="55"/>
      <c r="E3902" s="66"/>
      <c r="F3902" s="76" t="s">
        <v>572</v>
      </c>
      <c r="G3902" s="76" t="str">
        <f t="shared" si="66"/>
        <v/>
      </c>
      <c r="H3902" s="77"/>
      <c r="I3902" s="74"/>
      <c r="J3902" s="156">
        <v>0</v>
      </c>
    </row>
    <row r="3903" spans="1:10" ht="15.75" hidden="1" thickBot="1" x14ac:dyDescent="0.3">
      <c r="A3903" s="221" t="s">
        <v>1259</v>
      </c>
      <c r="B3903" s="224" t="str">
        <f>INDEX(Orçamentária!A:B,MATCH(Composições!A3903,Orçamentária!A:A,0),2)</f>
        <v>Perfil “U” em aço 25 x 25mm</v>
      </c>
      <c r="C3903" s="41"/>
      <c r="D3903" s="26" t="str">
        <f>TRIM(INDEX(Orçamentária!C:C,MATCH(Composições!A3903,Orçamentária!A:A,0),1))</f>
        <v>m</v>
      </c>
      <c r="E3903" s="27"/>
      <c r="F3903" s="42" t="s">
        <v>572</v>
      </c>
      <c r="G3903" s="28" t="str">
        <f t="shared" si="66"/>
        <v/>
      </c>
      <c r="H3903" s="29"/>
      <c r="I3903" s="30"/>
      <c r="J3903" s="156">
        <v>0</v>
      </c>
    </row>
    <row r="3904" spans="1:10" ht="15.75" hidden="1" thickBot="1" x14ac:dyDescent="0.3">
      <c r="A3904" s="227"/>
      <c r="B3904" s="225"/>
      <c r="C3904" s="32"/>
      <c r="D3904" s="32"/>
      <c r="E3904" s="33"/>
      <c r="F3904" s="43" t="s">
        <v>572</v>
      </c>
      <c r="G3904" s="31" t="str">
        <f t="shared" si="66"/>
        <v/>
      </c>
      <c r="H3904" s="35"/>
      <c r="I3904" s="31"/>
      <c r="J3904" s="156">
        <v>0</v>
      </c>
    </row>
    <row r="3905" spans="1:10" ht="15.75" hidden="1" thickBot="1" x14ac:dyDescent="0.3">
      <c r="A3905" s="227"/>
      <c r="B3905" s="225"/>
      <c r="C3905" s="36" t="s">
        <v>68</v>
      </c>
      <c r="D3905" s="47" t="s">
        <v>12</v>
      </c>
      <c r="E3905" s="37">
        <f>1/10</f>
        <v>0.1</v>
      </c>
      <c r="F3905" s="31">
        <v>20.539000000000001</v>
      </c>
      <c r="G3905" s="34">
        <f t="shared" si="66"/>
        <v>2.0539000000000001</v>
      </c>
      <c r="H3905" s="39">
        <f>SUM(G3905:G3906)</f>
        <v>2.0539000000000001</v>
      </c>
      <c r="I3905" s="40"/>
      <c r="J3905" s="156">
        <v>0</v>
      </c>
    </row>
    <row r="3906" spans="1:10" ht="15.75" hidden="1" thickBot="1" x14ac:dyDescent="0.3">
      <c r="A3906" s="227"/>
      <c r="B3906" s="225"/>
      <c r="C3906" s="36" t="s">
        <v>1260</v>
      </c>
      <c r="D3906" s="47" t="s">
        <v>94</v>
      </c>
      <c r="E3906" s="37">
        <v>1.05</v>
      </c>
      <c r="F3906" s="34" t="s">
        <v>572</v>
      </c>
      <c r="G3906" s="34" t="str">
        <f t="shared" si="66"/>
        <v/>
      </c>
      <c r="H3906" s="35"/>
      <c r="I3906" s="31"/>
      <c r="J3906" s="156">
        <v>0</v>
      </c>
    </row>
    <row r="3907" spans="1:10" ht="15.75" hidden="1" thickBot="1" x14ac:dyDescent="0.3">
      <c r="A3907" s="228"/>
      <c r="B3907" s="226"/>
      <c r="C3907" s="36"/>
      <c r="D3907" s="47"/>
      <c r="E3907" s="37"/>
      <c r="F3907" s="34" t="s">
        <v>572</v>
      </c>
      <c r="G3907" s="34" t="str">
        <f t="shared" si="66"/>
        <v/>
      </c>
      <c r="H3907" s="35"/>
      <c r="I3907" s="31"/>
      <c r="J3907" s="156">
        <v>0</v>
      </c>
    </row>
    <row r="3908" spans="1:10" ht="15.75" hidden="1" thickBot="1" x14ac:dyDescent="0.3">
      <c r="A3908" s="221" t="s">
        <v>1261</v>
      </c>
      <c r="B3908" s="224" t="str">
        <f>INDEX(Orçamentária!A:B,MATCH(Composições!A3908,Orçamentária!A:A,0),2)</f>
        <v>Alimentação para mão-de-obra indireta</v>
      </c>
      <c r="C3908" s="41"/>
      <c r="D3908" s="26" t="str">
        <f>TRIM(INDEX(Orçamentária!C:C,MATCH(Composições!A3908,Orçamentária!A:A,0),1))</f>
        <v>h</v>
      </c>
      <c r="E3908" s="27"/>
      <c r="F3908" s="49" t="s">
        <v>572</v>
      </c>
      <c r="G3908" s="28" t="str">
        <f t="shared" si="66"/>
        <v/>
      </c>
      <c r="H3908" s="29"/>
      <c r="I3908" s="30"/>
      <c r="J3908" s="156">
        <v>0</v>
      </c>
    </row>
    <row r="3909" spans="1:10" ht="15.75" hidden="1" thickBot="1" x14ac:dyDescent="0.3">
      <c r="A3909" s="227"/>
      <c r="B3909" s="225"/>
      <c r="C3909" s="32"/>
      <c r="D3909" s="32"/>
      <c r="E3909" s="33"/>
      <c r="F3909" s="54" t="s">
        <v>572</v>
      </c>
      <c r="G3909" s="54" t="str">
        <f t="shared" si="66"/>
        <v/>
      </c>
      <c r="H3909" s="73"/>
      <c r="I3909" s="74"/>
      <c r="J3909" s="156">
        <v>0</v>
      </c>
    </row>
    <row r="3910" spans="1:10" ht="15.75" hidden="1" thickBot="1" x14ac:dyDescent="0.3">
      <c r="A3910" s="227"/>
      <c r="B3910" s="225"/>
      <c r="C3910" s="36" t="s">
        <v>1262</v>
      </c>
      <c r="D3910" s="36" t="s">
        <v>12</v>
      </c>
      <c r="E3910" s="37">
        <v>1</v>
      </c>
      <c r="F3910" s="54">
        <v>2.4889999999999999</v>
      </c>
      <c r="G3910" s="54">
        <f t="shared" si="66"/>
        <v>2.4889999999999999</v>
      </c>
      <c r="H3910" s="39">
        <f>SUM(G3910:G3910)</f>
        <v>2.4889999999999999</v>
      </c>
      <c r="I3910" s="40"/>
      <c r="J3910" s="156">
        <v>0</v>
      </c>
    </row>
    <row r="3911" spans="1:10" ht="15.75" hidden="1" thickBot="1" x14ac:dyDescent="0.3">
      <c r="A3911" s="227"/>
      <c r="B3911" s="225"/>
      <c r="C3911" s="55"/>
      <c r="D3911" s="55"/>
      <c r="E3911" s="66"/>
      <c r="F3911" s="76" t="s">
        <v>572</v>
      </c>
      <c r="G3911" s="76" t="str">
        <f t="shared" si="66"/>
        <v/>
      </c>
      <c r="H3911" s="77"/>
      <c r="I3911" s="74"/>
      <c r="J3911" s="156">
        <v>0</v>
      </c>
    </row>
    <row r="3912" spans="1:10" ht="15.75" hidden="1" thickBot="1" x14ac:dyDescent="0.3">
      <c r="A3912" s="221" t="s">
        <v>1263</v>
      </c>
      <c r="B3912" s="224" t="str">
        <f>INDEX(Orçamentária!A:B,MATCH(Composições!A3912,Orçamentária!A:A,0),2)</f>
        <v>Transporte para mão-de-obra indireta</v>
      </c>
      <c r="C3912" s="41"/>
      <c r="D3912" s="26" t="str">
        <f>TRIM(INDEX(Orçamentária!C:C,MATCH(Composições!A3912,Orçamentária!A:A,0),1))</f>
        <v>h</v>
      </c>
      <c r="E3912" s="27"/>
      <c r="F3912" s="49" t="s">
        <v>572</v>
      </c>
      <c r="G3912" s="28" t="str">
        <f t="shared" si="66"/>
        <v/>
      </c>
      <c r="H3912" s="29"/>
      <c r="I3912" s="30"/>
      <c r="J3912" s="156">
        <v>0</v>
      </c>
    </row>
    <row r="3913" spans="1:10" ht="15.75" hidden="1" thickBot="1" x14ac:dyDescent="0.3">
      <c r="A3913" s="227"/>
      <c r="B3913" s="225"/>
      <c r="C3913" s="32"/>
      <c r="D3913" s="32"/>
      <c r="E3913" s="33"/>
      <c r="F3913" s="54" t="s">
        <v>572</v>
      </c>
      <c r="G3913" s="54" t="str">
        <f t="shared" si="66"/>
        <v/>
      </c>
      <c r="H3913" s="73"/>
      <c r="I3913" s="74"/>
      <c r="J3913" s="156">
        <v>0</v>
      </c>
    </row>
    <row r="3914" spans="1:10" ht="15.75" hidden="1" thickBot="1" x14ac:dyDescent="0.3">
      <c r="A3914" s="227"/>
      <c r="B3914" s="225"/>
      <c r="C3914" s="36" t="s">
        <v>1264</v>
      </c>
      <c r="D3914" s="36" t="s">
        <v>759</v>
      </c>
      <c r="E3914" s="37">
        <v>1.05</v>
      </c>
      <c r="F3914" s="54">
        <v>1.292</v>
      </c>
      <c r="G3914" s="54">
        <f t="shared" si="66"/>
        <v>1.3566</v>
      </c>
      <c r="H3914" s="39">
        <f>SUM(G3914:G3914)</f>
        <v>1.3566</v>
      </c>
      <c r="I3914" s="40"/>
      <c r="J3914" s="156">
        <v>0</v>
      </c>
    </row>
    <row r="3915" spans="1:10" ht="15.75" hidden="1" thickBot="1" x14ac:dyDescent="0.3">
      <c r="A3915" s="228"/>
      <c r="B3915" s="226"/>
      <c r="C3915" s="55"/>
      <c r="D3915" s="55"/>
      <c r="E3915" s="66"/>
      <c r="F3915" s="76" t="s">
        <v>572</v>
      </c>
      <c r="G3915" s="76" t="str">
        <f t="shared" si="66"/>
        <v/>
      </c>
      <c r="H3915" s="77"/>
      <c r="I3915" s="74"/>
      <c r="J3915" s="156">
        <v>0</v>
      </c>
    </row>
    <row r="3916" spans="1:10" ht="15.75" hidden="1" thickBot="1" x14ac:dyDescent="0.3">
      <c r="A3916" s="221" t="s">
        <v>1265</v>
      </c>
      <c r="B3916" s="224" t="str">
        <f>INDEX(Orçamentária!A:B,MATCH(Composições!A3916,Orçamentária!A:A,0),2)</f>
        <v>Cotovelo bolsa–bolsa 90° para solda em tubulação de cobre diâmetro de 1 3/8"</v>
      </c>
      <c r="C3916" s="41"/>
      <c r="D3916" s="26" t="str">
        <f>TRIM(INDEX(Orçamentária!C:C,MATCH(Composições!A3916,Orçamentária!A:A,0),1))</f>
        <v>un</v>
      </c>
      <c r="E3916" s="27"/>
      <c r="F3916" s="49" t="s">
        <v>572</v>
      </c>
      <c r="G3916" s="28" t="str">
        <f t="shared" si="66"/>
        <v/>
      </c>
      <c r="H3916" s="29"/>
      <c r="I3916" s="30"/>
      <c r="J3916" s="156">
        <v>0</v>
      </c>
    </row>
    <row r="3917" spans="1:10" ht="15.75" hidden="1" thickBot="1" x14ac:dyDescent="0.3">
      <c r="A3917" s="227"/>
      <c r="B3917" s="225"/>
      <c r="C3917" s="32"/>
      <c r="D3917" s="32"/>
      <c r="E3917" s="33"/>
      <c r="F3917" s="54" t="s">
        <v>572</v>
      </c>
      <c r="G3917" s="54" t="str">
        <f t="shared" si="66"/>
        <v/>
      </c>
      <c r="H3917" s="73"/>
      <c r="I3917" s="74"/>
      <c r="J3917" s="156">
        <v>0</v>
      </c>
    </row>
    <row r="3918" spans="1:10" ht="26.25" hidden="1" thickBot="1" x14ac:dyDescent="0.3">
      <c r="A3918" s="227"/>
      <c r="B3918" s="225"/>
      <c r="C3918" s="36" t="s">
        <v>1266</v>
      </c>
      <c r="D3918" s="47" t="s">
        <v>299</v>
      </c>
      <c r="E3918" s="37">
        <v>1</v>
      </c>
      <c r="F3918" s="54">
        <v>33.192999999999998</v>
      </c>
      <c r="G3918" s="54">
        <f t="shared" si="66"/>
        <v>33.192999999999998</v>
      </c>
      <c r="H3918" s="39">
        <f>SUM(G3918:G3923)</f>
        <v>41.014644499999996</v>
      </c>
      <c r="I3918" s="40"/>
      <c r="J3918" s="156">
        <v>0</v>
      </c>
    </row>
    <row r="3919" spans="1:10" ht="26.25" hidden="1" thickBot="1" x14ac:dyDescent="0.3">
      <c r="A3919" s="227"/>
      <c r="B3919" s="225"/>
      <c r="C3919" s="36" t="s">
        <v>1267</v>
      </c>
      <c r="D3919" s="47" t="s">
        <v>299</v>
      </c>
      <c r="E3919" s="37">
        <v>8.3999999999999995E-3</v>
      </c>
      <c r="F3919" s="54">
        <v>245.2045</v>
      </c>
      <c r="G3919" s="54">
        <f t="shared" si="66"/>
        <v>2.0597178</v>
      </c>
      <c r="H3919" s="73"/>
      <c r="I3919" s="74"/>
      <c r="J3919" s="156">
        <v>0</v>
      </c>
    </row>
    <row r="3920" spans="1:10" ht="15.75" hidden="1" thickBot="1" x14ac:dyDescent="0.3">
      <c r="A3920" s="227"/>
      <c r="B3920" s="225"/>
      <c r="C3920" s="36" t="s">
        <v>1268</v>
      </c>
      <c r="D3920" s="36" t="s">
        <v>299</v>
      </c>
      <c r="E3920" s="37">
        <v>5.9400000000000001E-2</v>
      </c>
      <c r="F3920" s="54">
        <v>1.9474999999999998</v>
      </c>
      <c r="G3920" s="54">
        <f t="shared" si="66"/>
        <v>0.11568149999999999</v>
      </c>
      <c r="H3920" s="73"/>
      <c r="I3920" s="74"/>
      <c r="J3920" s="156">
        <v>0</v>
      </c>
    </row>
    <row r="3921" spans="1:10" ht="26.25" hidden="1" thickBot="1" x14ac:dyDescent="0.3">
      <c r="A3921" s="227"/>
      <c r="B3921" s="225"/>
      <c r="C3921" s="36" t="s">
        <v>1269</v>
      </c>
      <c r="D3921" s="36" t="s">
        <v>299</v>
      </c>
      <c r="E3921" s="37">
        <v>1.0800000000000001E-2</v>
      </c>
      <c r="F3921" s="54">
        <v>44.954000000000001</v>
      </c>
      <c r="G3921" s="54">
        <f t="shared" si="66"/>
        <v>0.48550320000000002</v>
      </c>
      <c r="H3921" s="73"/>
      <c r="I3921" s="74"/>
      <c r="J3921" s="156">
        <v>0</v>
      </c>
    </row>
    <row r="3922" spans="1:10" ht="26.25" hidden="1" thickBot="1" x14ac:dyDescent="0.3">
      <c r="A3922" s="227"/>
      <c r="B3922" s="225"/>
      <c r="C3922" s="36" t="s">
        <v>1012</v>
      </c>
      <c r="D3922" s="36" t="s">
        <v>759</v>
      </c>
      <c r="E3922" s="37">
        <v>0.13400000000000001</v>
      </c>
      <c r="F3922" s="54">
        <v>16.891000000000002</v>
      </c>
      <c r="G3922" s="54">
        <f t="shared" ref="G3922:G3985" si="67">IF(ISNUMBER(F3922),E3922*F3922,"")</f>
        <v>2.2633940000000004</v>
      </c>
      <c r="H3922" s="73"/>
      <c r="I3922" s="74"/>
      <c r="J3922" s="156">
        <v>0</v>
      </c>
    </row>
    <row r="3923" spans="1:10" ht="26.25" hidden="1" thickBot="1" x14ac:dyDescent="0.3">
      <c r="A3923" s="227"/>
      <c r="B3923" s="225"/>
      <c r="C3923" s="36" t="s">
        <v>1013</v>
      </c>
      <c r="D3923" s="36" t="s">
        <v>759</v>
      </c>
      <c r="E3923" s="37">
        <v>0.13400000000000001</v>
      </c>
      <c r="F3923" s="54">
        <v>21.622</v>
      </c>
      <c r="G3923" s="54">
        <f t="shared" si="67"/>
        <v>2.897348</v>
      </c>
      <c r="H3923" s="73"/>
      <c r="I3923" s="74"/>
      <c r="J3923" s="156">
        <v>0</v>
      </c>
    </row>
    <row r="3924" spans="1:10" ht="15.75" hidden="1" thickBot="1" x14ac:dyDescent="0.3">
      <c r="A3924" s="228"/>
      <c r="B3924" s="226"/>
      <c r="C3924" s="55"/>
      <c r="D3924" s="55"/>
      <c r="E3924" s="66"/>
      <c r="F3924" s="76" t="s">
        <v>572</v>
      </c>
      <c r="G3924" s="76" t="str">
        <f t="shared" si="67"/>
        <v/>
      </c>
      <c r="H3924" s="77"/>
      <c r="I3924" s="74"/>
      <c r="J3924" s="156">
        <v>0</v>
      </c>
    </row>
    <row r="3925" spans="1:10" ht="15.75" hidden="1" thickBot="1" x14ac:dyDescent="0.3">
      <c r="A3925" s="221" t="s">
        <v>1270</v>
      </c>
      <c r="B3925" s="224" t="str">
        <f>INDEX(Orçamentária!A:B,MATCH(Composições!A3925,Orçamentária!A:A,0),2)</f>
        <v>Cotovelo bolsa–bolsa 90° para solda em tubulação de cobre diâmetro de 1 5/8"</v>
      </c>
      <c r="C3925" s="41"/>
      <c r="D3925" s="26" t="str">
        <f>TRIM(INDEX(Orçamentária!C:C,MATCH(Composições!A3925,Orçamentária!A:A,0),1))</f>
        <v>un</v>
      </c>
      <c r="E3925" s="27"/>
      <c r="F3925" s="49" t="s">
        <v>572</v>
      </c>
      <c r="G3925" s="28" t="str">
        <f t="shared" si="67"/>
        <v/>
      </c>
      <c r="H3925" s="29"/>
      <c r="I3925" s="30"/>
      <c r="J3925" s="156">
        <v>0</v>
      </c>
    </row>
    <row r="3926" spans="1:10" ht="15.75" hidden="1" thickBot="1" x14ac:dyDescent="0.3">
      <c r="A3926" s="227"/>
      <c r="B3926" s="225"/>
      <c r="C3926" s="32"/>
      <c r="D3926" s="32"/>
      <c r="E3926" s="33"/>
      <c r="F3926" s="54" t="s">
        <v>572</v>
      </c>
      <c r="G3926" s="54" t="str">
        <f t="shared" si="67"/>
        <v/>
      </c>
      <c r="H3926" s="73"/>
      <c r="I3926" s="74"/>
      <c r="J3926" s="156">
        <v>0</v>
      </c>
    </row>
    <row r="3927" spans="1:10" ht="26.25" hidden="1" thickBot="1" x14ac:dyDescent="0.3">
      <c r="A3927" s="227"/>
      <c r="B3927" s="225"/>
      <c r="C3927" s="36" t="s">
        <v>1271</v>
      </c>
      <c r="D3927" s="47" t="s">
        <v>299</v>
      </c>
      <c r="E3927" s="37">
        <v>1</v>
      </c>
      <c r="F3927" s="54">
        <v>50.948500000000003</v>
      </c>
      <c r="G3927" s="54">
        <f t="shared" si="67"/>
        <v>50.948500000000003</v>
      </c>
      <c r="H3927" s="39">
        <f>SUM(G3927:G3932)</f>
        <v>62.398022550000007</v>
      </c>
      <c r="I3927" s="40"/>
      <c r="J3927" s="156">
        <v>0</v>
      </c>
    </row>
    <row r="3928" spans="1:10" ht="26.25" hidden="1" thickBot="1" x14ac:dyDescent="0.3">
      <c r="A3928" s="227"/>
      <c r="B3928" s="225"/>
      <c r="C3928" s="36" t="s">
        <v>1267</v>
      </c>
      <c r="D3928" s="47" t="s">
        <v>299</v>
      </c>
      <c r="E3928" s="37">
        <v>1.7600000000000001E-2</v>
      </c>
      <c r="F3928" s="54">
        <v>245.2045</v>
      </c>
      <c r="G3928" s="54">
        <f t="shared" si="67"/>
        <v>4.3155992000000003</v>
      </c>
      <c r="H3928" s="73"/>
      <c r="I3928" s="74"/>
      <c r="J3928" s="156">
        <v>0</v>
      </c>
    </row>
    <row r="3929" spans="1:10" ht="15.75" hidden="1" thickBot="1" x14ac:dyDescent="0.3">
      <c r="A3929" s="227"/>
      <c r="B3929" s="225"/>
      <c r="C3929" s="36" t="s">
        <v>1268</v>
      </c>
      <c r="D3929" s="36" t="s">
        <v>299</v>
      </c>
      <c r="E3929" s="37">
        <v>6.93E-2</v>
      </c>
      <c r="F3929" s="54">
        <v>1.9474999999999998</v>
      </c>
      <c r="G3929" s="54">
        <f t="shared" si="67"/>
        <v>0.13496174999999999</v>
      </c>
      <c r="H3929" s="73"/>
      <c r="I3929" s="74"/>
      <c r="J3929" s="156">
        <v>0</v>
      </c>
    </row>
    <row r="3930" spans="1:10" ht="26.25" hidden="1" thickBot="1" x14ac:dyDescent="0.3">
      <c r="A3930" s="227"/>
      <c r="B3930" s="225"/>
      <c r="C3930" s="36" t="s">
        <v>1269</v>
      </c>
      <c r="D3930" s="36" t="s">
        <v>299</v>
      </c>
      <c r="E3930" s="37">
        <v>2.29E-2</v>
      </c>
      <c r="F3930" s="54">
        <v>44.954000000000001</v>
      </c>
      <c r="G3930" s="54">
        <f t="shared" si="67"/>
        <v>1.0294466</v>
      </c>
      <c r="H3930" s="73"/>
      <c r="I3930" s="74"/>
      <c r="J3930" s="156">
        <v>0</v>
      </c>
    </row>
    <row r="3931" spans="1:10" ht="26.25" hidden="1" thickBot="1" x14ac:dyDescent="0.3">
      <c r="A3931" s="227"/>
      <c r="B3931" s="225"/>
      <c r="C3931" s="36" t="s">
        <v>1012</v>
      </c>
      <c r="D3931" s="36" t="s">
        <v>759</v>
      </c>
      <c r="E3931" s="37">
        <v>0.155</v>
      </c>
      <c r="F3931" s="54">
        <v>16.891000000000002</v>
      </c>
      <c r="G3931" s="54">
        <f t="shared" si="67"/>
        <v>2.6181050000000003</v>
      </c>
      <c r="H3931" s="73"/>
      <c r="I3931" s="74"/>
      <c r="J3931" s="156">
        <v>0</v>
      </c>
    </row>
    <row r="3932" spans="1:10" ht="26.25" hidden="1" thickBot="1" x14ac:dyDescent="0.3">
      <c r="A3932" s="227"/>
      <c r="B3932" s="225"/>
      <c r="C3932" s="36" t="s">
        <v>1013</v>
      </c>
      <c r="D3932" s="36" t="s">
        <v>759</v>
      </c>
      <c r="E3932" s="37">
        <v>0.155</v>
      </c>
      <c r="F3932" s="54">
        <v>21.622</v>
      </c>
      <c r="G3932" s="54">
        <f t="shared" si="67"/>
        <v>3.35141</v>
      </c>
      <c r="H3932" s="73"/>
      <c r="I3932" s="74"/>
      <c r="J3932" s="156">
        <v>0</v>
      </c>
    </row>
    <row r="3933" spans="1:10" ht="15.75" hidden="1" thickBot="1" x14ac:dyDescent="0.3">
      <c r="A3933" s="228"/>
      <c r="B3933" s="226"/>
      <c r="C3933" s="55"/>
      <c r="D3933" s="55"/>
      <c r="E3933" s="66"/>
      <c r="F3933" s="76" t="s">
        <v>572</v>
      </c>
      <c r="G3933" s="76" t="str">
        <f t="shared" si="67"/>
        <v/>
      </c>
      <c r="H3933" s="77"/>
      <c r="I3933" s="74"/>
      <c r="J3933" s="156">
        <v>0</v>
      </c>
    </row>
    <row r="3934" spans="1:10" ht="15.75" hidden="1" thickBot="1" x14ac:dyDescent="0.3">
      <c r="A3934" s="221" t="s">
        <v>1272</v>
      </c>
      <c r="B3934" s="224" t="str">
        <f>INDEX(Orçamentária!A:B,MATCH(Composições!A3934,Orçamentária!A:A,0),2)</f>
        <v>Cotovelo bolsa–bolsa 90° para solda em tubulação de cobre diâmetro de 7/8"</v>
      </c>
      <c r="C3934" s="41"/>
      <c r="D3934" s="26" t="str">
        <f>TRIM(INDEX(Orçamentária!C:C,MATCH(Composições!A3934,Orçamentária!A:A,0),1))</f>
        <v>un</v>
      </c>
      <c r="E3934" s="27"/>
      <c r="F3934" s="49" t="s">
        <v>572</v>
      </c>
      <c r="G3934" s="28" t="str">
        <f t="shared" si="67"/>
        <v/>
      </c>
      <c r="H3934" s="29"/>
      <c r="I3934" s="30"/>
      <c r="J3934" s="156">
        <v>0</v>
      </c>
    </row>
    <row r="3935" spans="1:10" ht="15.75" hidden="1" thickBot="1" x14ac:dyDescent="0.3">
      <c r="A3935" s="227"/>
      <c r="B3935" s="225"/>
      <c r="C3935" s="32"/>
      <c r="D3935" s="32"/>
      <c r="E3935" s="33"/>
      <c r="F3935" s="54" t="s">
        <v>572</v>
      </c>
      <c r="G3935" s="54" t="str">
        <f t="shared" si="67"/>
        <v/>
      </c>
      <c r="H3935" s="73"/>
      <c r="I3935" s="74"/>
      <c r="J3935" s="156">
        <v>0</v>
      </c>
    </row>
    <row r="3936" spans="1:10" ht="26.25" hidden="1" thickBot="1" x14ac:dyDescent="0.3">
      <c r="A3936" s="227"/>
      <c r="B3936" s="225"/>
      <c r="C3936" s="36" t="s">
        <v>1273</v>
      </c>
      <c r="D3936" s="47" t="s">
        <v>299</v>
      </c>
      <c r="E3936" s="37">
        <v>1</v>
      </c>
      <c r="F3936" s="54">
        <v>9.8324999999999996</v>
      </c>
      <c r="G3936" s="54">
        <f t="shared" si="67"/>
        <v>9.8324999999999996</v>
      </c>
      <c r="H3936" s="39">
        <f>SUM(G3936:G3941)</f>
        <v>15.074071799999999</v>
      </c>
      <c r="I3936" s="40"/>
      <c r="J3936" s="156">
        <v>0</v>
      </c>
    </row>
    <row r="3937" spans="1:10" ht="26.25" hidden="1" thickBot="1" x14ac:dyDescent="0.3">
      <c r="A3937" s="227"/>
      <c r="B3937" s="225"/>
      <c r="C3937" s="36" t="s">
        <v>1267</v>
      </c>
      <c r="D3937" s="47" t="s">
        <v>299</v>
      </c>
      <c r="E3937" s="37">
        <v>4.7999999999999996E-3</v>
      </c>
      <c r="F3937" s="54">
        <v>245.2045</v>
      </c>
      <c r="G3937" s="54">
        <f t="shared" si="67"/>
        <v>1.1769816</v>
      </c>
      <c r="H3937" s="73"/>
      <c r="I3937" s="74"/>
      <c r="J3937" s="156">
        <v>0</v>
      </c>
    </row>
    <row r="3938" spans="1:10" ht="15.75" hidden="1" thickBot="1" x14ac:dyDescent="0.3">
      <c r="A3938" s="227"/>
      <c r="B3938" s="225"/>
      <c r="C3938" s="36" t="s">
        <v>1268</v>
      </c>
      <c r="D3938" s="36" t="s">
        <v>299</v>
      </c>
      <c r="E3938" s="37">
        <v>4.3200000000000002E-2</v>
      </c>
      <c r="F3938" s="54">
        <v>1.9474999999999998</v>
      </c>
      <c r="G3938" s="54">
        <f t="shared" si="67"/>
        <v>8.4131999999999998E-2</v>
      </c>
      <c r="H3938" s="73"/>
      <c r="I3938" s="74"/>
      <c r="J3938" s="156">
        <v>0</v>
      </c>
    </row>
    <row r="3939" spans="1:10" ht="26.25" hidden="1" thickBot="1" x14ac:dyDescent="0.3">
      <c r="A3939" s="227"/>
      <c r="B3939" s="225"/>
      <c r="C3939" s="36" t="s">
        <v>1269</v>
      </c>
      <c r="D3939" s="36" t="s">
        <v>299</v>
      </c>
      <c r="E3939" s="37">
        <v>6.3E-3</v>
      </c>
      <c r="F3939" s="54">
        <v>44.954000000000001</v>
      </c>
      <c r="G3939" s="54">
        <f t="shared" si="67"/>
        <v>0.28321020000000002</v>
      </c>
      <c r="H3939" s="73"/>
      <c r="I3939" s="74"/>
      <c r="J3939" s="156">
        <v>0</v>
      </c>
    </row>
    <row r="3940" spans="1:10" ht="26.25" hidden="1" thickBot="1" x14ac:dyDescent="0.3">
      <c r="A3940" s="227"/>
      <c r="B3940" s="225"/>
      <c r="C3940" s="36" t="s">
        <v>1012</v>
      </c>
      <c r="D3940" s="36" t="s">
        <v>759</v>
      </c>
      <c r="E3940" s="37">
        <v>9.6000000000000002E-2</v>
      </c>
      <c r="F3940" s="54">
        <v>16.891000000000002</v>
      </c>
      <c r="G3940" s="54">
        <f t="shared" si="67"/>
        <v>1.6215360000000003</v>
      </c>
      <c r="H3940" s="73"/>
      <c r="I3940" s="74"/>
      <c r="J3940" s="156">
        <v>0</v>
      </c>
    </row>
    <row r="3941" spans="1:10" ht="26.25" hidden="1" thickBot="1" x14ac:dyDescent="0.3">
      <c r="A3941" s="227"/>
      <c r="B3941" s="225"/>
      <c r="C3941" s="36" t="s">
        <v>1013</v>
      </c>
      <c r="D3941" s="36" t="s">
        <v>759</v>
      </c>
      <c r="E3941" s="37">
        <v>9.6000000000000002E-2</v>
      </c>
      <c r="F3941" s="54">
        <v>21.622</v>
      </c>
      <c r="G3941" s="54">
        <f t="shared" si="67"/>
        <v>2.0757120000000002</v>
      </c>
      <c r="H3941" s="73"/>
      <c r="I3941" s="74"/>
      <c r="J3941" s="156">
        <v>0</v>
      </c>
    </row>
    <row r="3942" spans="1:10" ht="15.75" hidden="1" thickBot="1" x14ac:dyDescent="0.3">
      <c r="A3942" s="228"/>
      <c r="B3942" s="226"/>
      <c r="C3942" s="55"/>
      <c r="D3942" s="55"/>
      <c r="E3942" s="66"/>
      <c r="F3942" s="76" t="s">
        <v>572</v>
      </c>
      <c r="G3942" s="76" t="str">
        <f t="shared" si="67"/>
        <v/>
      </c>
      <c r="H3942" s="77"/>
      <c r="I3942" s="74"/>
      <c r="J3942" s="156">
        <v>0</v>
      </c>
    </row>
    <row r="3943" spans="1:10" ht="15.75" hidden="1" thickBot="1" x14ac:dyDescent="0.3">
      <c r="A3943" s="221" t="s">
        <v>1274</v>
      </c>
      <c r="B3943" s="224" t="str">
        <f>INDEX(Orçamentária!A:B,MATCH(Composições!A3943,Orçamentária!A:A,0),2)</f>
        <v>Luva bolsa–bolsa para solda em tubulação de cobre diâmetro de 1 3/8"</v>
      </c>
      <c r="C3943" s="41"/>
      <c r="D3943" s="26" t="str">
        <f>TRIM(INDEX(Orçamentária!C:C,MATCH(Composições!A3943,Orçamentária!A:A,0),1))</f>
        <v>un</v>
      </c>
      <c r="E3943" s="27"/>
      <c r="F3943" s="49" t="s">
        <v>572</v>
      </c>
      <c r="G3943" s="28" t="str">
        <f t="shared" si="67"/>
        <v/>
      </c>
      <c r="H3943" s="29"/>
      <c r="I3943" s="30"/>
      <c r="J3943" s="156">
        <v>0</v>
      </c>
    </row>
    <row r="3944" spans="1:10" ht="15.75" hidden="1" thickBot="1" x14ac:dyDescent="0.3">
      <c r="A3944" s="227"/>
      <c r="B3944" s="225"/>
      <c r="C3944" s="32"/>
      <c r="D3944" s="32"/>
      <c r="E3944" s="33"/>
      <c r="F3944" s="54" t="s">
        <v>572</v>
      </c>
      <c r="G3944" s="54" t="str">
        <f t="shared" si="67"/>
        <v/>
      </c>
      <c r="H3944" s="73"/>
      <c r="I3944" s="74"/>
      <c r="J3944" s="156">
        <v>0</v>
      </c>
    </row>
    <row r="3945" spans="1:10" ht="26.25" hidden="1" thickBot="1" x14ac:dyDescent="0.3">
      <c r="A3945" s="227"/>
      <c r="B3945" s="225"/>
      <c r="C3945" s="36" t="s">
        <v>1275</v>
      </c>
      <c r="D3945" s="47" t="s">
        <v>299</v>
      </c>
      <c r="E3945" s="37">
        <v>1</v>
      </c>
      <c r="F3945" s="54">
        <v>20.624500000000001</v>
      </c>
      <c r="G3945" s="54">
        <f t="shared" si="67"/>
        <v>20.624500000000001</v>
      </c>
      <c r="H3945" s="39">
        <f>SUM(G3945:G3950)</f>
        <v>26.7130595</v>
      </c>
      <c r="I3945" s="40"/>
      <c r="J3945" s="156">
        <v>0</v>
      </c>
    </row>
    <row r="3946" spans="1:10" ht="26.25" hidden="1" thickBot="1" x14ac:dyDescent="0.3">
      <c r="A3946" s="227"/>
      <c r="B3946" s="225"/>
      <c r="C3946" s="36" t="s">
        <v>1267</v>
      </c>
      <c r="D3946" s="47" t="s">
        <v>299</v>
      </c>
      <c r="E3946" s="37">
        <v>8.3999999999999995E-3</v>
      </c>
      <c r="F3946" s="54">
        <v>245.2045</v>
      </c>
      <c r="G3946" s="54">
        <f t="shared" si="67"/>
        <v>2.0597178</v>
      </c>
      <c r="H3946" s="73"/>
      <c r="I3946" s="74"/>
      <c r="J3946" s="156">
        <v>0</v>
      </c>
    </row>
    <row r="3947" spans="1:10" ht="15.75" hidden="1" thickBot="1" x14ac:dyDescent="0.3">
      <c r="A3947" s="227"/>
      <c r="B3947" s="225"/>
      <c r="C3947" s="36" t="s">
        <v>1268</v>
      </c>
      <c r="D3947" s="36" t="s">
        <v>299</v>
      </c>
      <c r="E3947" s="37">
        <v>5.9400000000000001E-2</v>
      </c>
      <c r="F3947" s="54">
        <v>1.9474999999999998</v>
      </c>
      <c r="G3947" s="54">
        <f t="shared" si="67"/>
        <v>0.11568149999999999</v>
      </c>
      <c r="H3947" s="73"/>
      <c r="I3947" s="74"/>
      <c r="J3947" s="156">
        <v>0</v>
      </c>
    </row>
    <row r="3948" spans="1:10" ht="26.25" hidden="1" thickBot="1" x14ac:dyDescent="0.3">
      <c r="A3948" s="227"/>
      <c r="B3948" s="225"/>
      <c r="C3948" s="36" t="s">
        <v>1269</v>
      </c>
      <c r="D3948" s="36" t="s">
        <v>299</v>
      </c>
      <c r="E3948" s="37">
        <v>1.0800000000000001E-2</v>
      </c>
      <c r="F3948" s="54">
        <v>44.954000000000001</v>
      </c>
      <c r="G3948" s="54">
        <f t="shared" si="67"/>
        <v>0.48550320000000002</v>
      </c>
      <c r="H3948" s="73"/>
      <c r="I3948" s="74"/>
      <c r="J3948" s="156">
        <v>0</v>
      </c>
    </row>
    <row r="3949" spans="1:10" ht="26.25" hidden="1" thickBot="1" x14ac:dyDescent="0.3">
      <c r="A3949" s="227"/>
      <c r="B3949" s="225"/>
      <c r="C3949" s="36" t="s">
        <v>1012</v>
      </c>
      <c r="D3949" s="36" t="s">
        <v>759</v>
      </c>
      <c r="E3949" s="37">
        <v>8.8999999999999996E-2</v>
      </c>
      <c r="F3949" s="54">
        <v>16.891000000000002</v>
      </c>
      <c r="G3949" s="54">
        <f t="shared" si="67"/>
        <v>1.5032990000000002</v>
      </c>
      <c r="H3949" s="73"/>
      <c r="I3949" s="74"/>
      <c r="J3949" s="156">
        <v>0</v>
      </c>
    </row>
    <row r="3950" spans="1:10" ht="26.25" hidden="1" thickBot="1" x14ac:dyDescent="0.3">
      <c r="A3950" s="227"/>
      <c r="B3950" s="225"/>
      <c r="C3950" s="36" t="s">
        <v>1013</v>
      </c>
      <c r="D3950" s="36" t="s">
        <v>759</v>
      </c>
      <c r="E3950" s="37">
        <v>8.8999999999999996E-2</v>
      </c>
      <c r="F3950" s="54">
        <v>21.622</v>
      </c>
      <c r="G3950" s="54">
        <f t="shared" si="67"/>
        <v>1.9243579999999998</v>
      </c>
      <c r="H3950" s="73"/>
      <c r="I3950" s="74"/>
      <c r="J3950" s="156">
        <v>0</v>
      </c>
    </row>
    <row r="3951" spans="1:10" ht="15.75" hidden="1" thickBot="1" x14ac:dyDescent="0.3">
      <c r="A3951" s="228"/>
      <c r="B3951" s="226"/>
      <c r="C3951" s="55"/>
      <c r="D3951" s="55"/>
      <c r="E3951" s="66"/>
      <c r="F3951" s="76" t="s">
        <v>572</v>
      </c>
      <c r="G3951" s="76" t="str">
        <f t="shared" si="67"/>
        <v/>
      </c>
      <c r="H3951" s="77"/>
      <c r="I3951" s="74"/>
      <c r="J3951" s="156">
        <v>0</v>
      </c>
    </row>
    <row r="3952" spans="1:10" ht="15.75" hidden="1" thickBot="1" x14ac:dyDescent="0.3">
      <c r="A3952" s="221" t="s">
        <v>1276</v>
      </c>
      <c r="B3952" s="224" t="str">
        <f>INDEX(Orçamentária!A:B,MATCH(Composições!A3952,Orçamentária!A:A,0),2)</f>
        <v>Luva bolsa–bolsa para solda em tubulação de cobre diâmetro de 1 5/8"</v>
      </c>
      <c r="C3952" s="41"/>
      <c r="D3952" s="26" t="str">
        <f>TRIM(INDEX(Orçamentária!C:C,MATCH(Composições!A3952,Orçamentária!A:A,0),1))</f>
        <v>un</v>
      </c>
      <c r="E3952" s="27"/>
      <c r="F3952" s="49" t="s">
        <v>572</v>
      </c>
      <c r="G3952" s="28" t="str">
        <f t="shared" si="67"/>
        <v/>
      </c>
      <c r="H3952" s="29"/>
      <c r="I3952" s="30"/>
      <c r="J3952" s="156">
        <v>0</v>
      </c>
    </row>
    <row r="3953" spans="1:10" ht="15.75" hidden="1" thickBot="1" x14ac:dyDescent="0.3">
      <c r="A3953" s="227"/>
      <c r="B3953" s="225"/>
      <c r="C3953" s="32"/>
      <c r="D3953" s="32"/>
      <c r="E3953" s="33"/>
      <c r="F3953" s="54" t="s">
        <v>572</v>
      </c>
      <c r="G3953" s="54" t="str">
        <f t="shared" si="67"/>
        <v/>
      </c>
      <c r="H3953" s="73"/>
      <c r="I3953" s="74"/>
      <c r="J3953" s="156">
        <v>0</v>
      </c>
    </row>
    <row r="3954" spans="1:10" ht="26.25" hidden="1" thickBot="1" x14ac:dyDescent="0.3">
      <c r="A3954" s="227"/>
      <c r="B3954" s="225"/>
      <c r="C3954" s="36" t="s">
        <v>1277</v>
      </c>
      <c r="D3954" s="47" t="s">
        <v>299</v>
      </c>
      <c r="E3954" s="37">
        <v>1</v>
      </c>
      <c r="F3954" s="54">
        <v>26.153500000000001</v>
      </c>
      <c r="G3954" s="54">
        <f t="shared" si="67"/>
        <v>26.153500000000001</v>
      </c>
      <c r="H3954" s="39">
        <f>SUM(G3954:G3959)</f>
        <v>35.600346550000005</v>
      </c>
      <c r="I3954" s="40"/>
      <c r="J3954" s="156">
        <v>0</v>
      </c>
    </row>
    <row r="3955" spans="1:10" ht="26.25" hidden="1" thickBot="1" x14ac:dyDescent="0.3">
      <c r="A3955" s="227"/>
      <c r="B3955" s="225"/>
      <c r="C3955" s="36" t="s">
        <v>1267</v>
      </c>
      <c r="D3955" s="47" t="s">
        <v>299</v>
      </c>
      <c r="E3955" s="37">
        <v>1.7600000000000001E-2</v>
      </c>
      <c r="F3955" s="54">
        <v>245.2045</v>
      </c>
      <c r="G3955" s="54">
        <f t="shared" si="67"/>
        <v>4.3155992000000003</v>
      </c>
      <c r="H3955" s="73"/>
      <c r="I3955" s="74"/>
      <c r="J3955" s="156">
        <v>0</v>
      </c>
    </row>
    <row r="3956" spans="1:10" ht="15.75" hidden="1" thickBot="1" x14ac:dyDescent="0.3">
      <c r="A3956" s="227"/>
      <c r="B3956" s="225"/>
      <c r="C3956" s="36" t="s">
        <v>1268</v>
      </c>
      <c r="D3956" s="36" t="s">
        <v>299</v>
      </c>
      <c r="E3956" s="37">
        <v>6.93E-2</v>
      </c>
      <c r="F3956" s="54">
        <v>1.9474999999999998</v>
      </c>
      <c r="G3956" s="54">
        <f t="shared" si="67"/>
        <v>0.13496174999999999</v>
      </c>
      <c r="H3956" s="73"/>
      <c r="I3956" s="74"/>
      <c r="J3956" s="156">
        <v>0</v>
      </c>
    </row>
    <row r="3957" spans="1:10" ht="26.25" hidden="1" thickBot="1" x14ac:dyDescent="0.3">
      <c r="A3957" s="227"/>
      <c r="B3957" s="225"/>
      <c r="C3957" s="36" t="s">
        <v>1269</v>
      </c>
      <c r="D3957" s="36" t="s">
        <v>299</v>
      </c>
      <c r="E3957" s="37">
        <v>2.29E-2</v>
      </c>
      <c r="F3957" s="54">
        <v>44.954000000000001</v>
      </c>
      <c r="G3957" s="54">
        <f t="shared" si="67"/>
        <v>1.0294466</v>
      </c>
      <c r="H3957" s="73"/>
      <c r="I3957" s="74"/>
      <c r="J3957" s="156">
        <v>0</v>
      </c>
    </row>
    <row r="3958" spans="1:10" ht="26.25" hidden="1" thickBot="1" x14ac:dyDescent="0.3">
      <c r="A3958" s="227"/>
      <c r="B3958" s="225"/>
      <c r="C3958" s="36" t="s">
        <v>1012</v>
      </c>
      <c r="D3958" s="36" t="s">
        <v>759</v>
      </c>
      <c r="E3958" s="37">
        <v>0.10299999999999999</v>
      </c>
      <c r="F3958" s="54">
        <v>16.891000000000002</v>
      </c>
      <c r="G3958" s="54">
        <f t="shared" si="67"/>
        <v>1.739773</v>
      </c>
      <c r="H3958" s="73"/>
      <c r="I3958" s="74"/>
      <c r="J3958" s="156">
        <v>0</v>
      </c>
    </row>
    <row r="3959" spans="1:10" ht="26.25" hidden="1" thickBot="1" x14ac:dyDescent="0.3">
      <c r="A3959" s="227"/>
      <c r="B3959" s="225"/>
      <c r="C3959" s="36" t="s">
        <v>1013</v>
      </c>
      <c r="D3959" s="36" t="s">
        <v>759</v>
      </c>
      <c r="E3959" s="37">
        <v>0.10299999999999999</v>
      </c>
      <c r="F3959" s="54">
        <v>21.622</v>
      </c>
      <c r="G3959" s="54">
        <f t="shared" si="67"/>
        <v>2.2270659999999998</v>
      </c>
      <c r="H3959" s="73"/>
      <c r="I3959" s="74"/>
      <c r="J3959" s="156">
        <v>0</v>
      </c>
    </row>
    <row r="3960" spans="1:10" ht="15.75" hidden="1" thickBot="1" x14ac:dyDescent="0.3">
      <c r="A3960" s="228"/>
      <c r="B3960" s="226"/>
      <c r="C3960" s="55"/>
      <c r="D3960" s="55"/>
      <c r="E3960" s="66"/>
      <c r="F3960" s="76" t="s">
        <v>572</v>
      </c>
      <c r="G3960" s="76" t="str">
        <f t="shared" si="67"/>
        <v/>
      </c>
      <c r="H3960" s="77"/>
      <c r="I3960" s="74"/>
      <c r="J3960" s="156">
        <v>0</v>
      </c>
    </row>
    <row r="3961" spans="1:10" ht="15.75" hidden="1" thickBot="1" x14ac:dyDescent="0.3">
      <c r="A3961" s="221" t="s">
        <v>1278</v>
      </c>
      <c r="B3961" s="224" t="str">
        <f>INDEX(Orçamentária!A:B,MATCH(Composições!A3961,Orçamentária!A:A,0),2)</f>
        <v>Luva bolsa–bolsa para solda em tubulação de cobre diâmetro de 7/8"</v>
      </c>
      <c r="C3961" s="41"/>
      <c r="D3961" s="26" t="str">
        <f>TRIM(INDEX(Orçamentária!C:C,MATCH(Composições!A3961,Orçamentária!A:A,0),1))</f>
        <v>un</v>
      </c>
      <c r="E3961" s="27"/>
      <c r="F3961" s="49" t="s">
        <v>572</v>
      </c>
      <c r="G3961" s="28" t="str">
        <f t="shared" si="67"/>
        <v/>
      </c>
      <c r="H3961" s="29"/>
      <c r="I3961" s="30"/>
      <c r="J3961" s="156">
        <v>0</v>
      </c>
    </row>
    <row r="3962" spans="1:10" ht="15.75" hidden="1" thickBot="1" x14ac:dyDescent="0.3">
      <c r="A3962" s="227"/>
      <c r="B3962" s="225"/>
      <c r="C3962" s="32"/>
      <c r="D3962" s="32"/>
      <c r="E3962" s="33"/>
      <c r="F3962" s="54" t="s">
        <v>572</v>
      </c>
      <c r="G3962" s="54" t="str">
        <f t="shared" si="67"/>
        <v/>
      </c>
      <c r="H3962" s="73"/>
      <c r="I3962" s="74"/>
      <c r="J3962" s="156">
        <v>0</v>
      </c>
    </row>
    <row r="3963" spans="1:10" ht="26.25" hidden="1" thickBot="1" x14ac:dyDescent="0.3">
      <c r="A3963" s="227"/>
      <c r="B3963" s="225"/>
      <c r="C3963" s="36" t="s">
        <v>1279</v>
      </c>
      <c r="D3963" s="47" t="s">
        <v>299</v>
      </c>
      <c r="E3963" s="37">
        <v>1</v>
      </c>
      <c r="F3963" s="54">
        <v>4.6550000000000002</v>
      </c>
      <c r="G3963" s="54">
        <f t="shared" si="67"/>
        <v>4.6550000000000002</v>
      </c>
      <c r="H3963" s="39">
        <f>SUM(G3963:G3968)</f>
        <v>8.6641558000000014</v>
      </c>
      <c r="I3963" s="40"/>
      <c r="J3963" s="156">
        <v>0</v>
      </c>
    </row>
    <row r="3964" spans="1:10" ht="26.25" hidden="1" thickBot="1" x14ac:dyDescent="0.3">
      <c r="A3964" s="227"/>
      <c r="B3964" s="225"/>
      <c r="C3964" s="36" t="s">
        <v>1267</v>
      </c>
      <c r="D3964" s="47" t="s">
        <v>299</v>
      </c>
      <c r="E3964" s="37">
        <v>4.7999999999999996E-3</v>
      </c>
      <c r="F3964" s="54">
        <v>245.2045</v>
      </c>
      <c r="G3964" s="54">
        <f t="shared" si="67"/>
        <v>1.1769816</v>
      </c>
      <c r="H3964" s="73"/>
      <c r="I3964" s="74"/>
      <c r="J3964" s="156">
        <v>0</v>
      </c>
    </row>
    <row r="3965" spans="1:10" ht="15.75" hidden="1" thickBot="1" x14ac:dyDescent="0.3">
      <c r="A3965" s="227"/>
      <c r="B3965" s="225"/>
      <c r="C3965" s="36" t="s">
        <v>1268</v>
      </c>
      <c r="D3965" s="36" t="s">
        <v>299</v>
      </c>
      <c r="E3965" s="37">
        <v>4.3200000000000002E-2</v>
      </c>
      <c r="F3965" s="54">
        <v>1.9474999999999998</v>
      </c>
      <c r="G3965" s="54">
        <f t="shared" si="67"/>
        <v>8.4131999999999998E-2</v>
      </c>
      <c r="H3965" s="73"/>
      <c r="I3965" s="74"/>
      <c r="J3965" s="156">
        <v>0</v>
      </c>
    </row>
    <row r="3966" spans="1:10" ht="26.25" hidden="1" thickBot="1" x14ac:dyDescent="0.3">
      <c r="A3966" s="227"/>
      <c r="B3966" s="225"/>
      <c r="C3966" s="36" t="s">
        <v>1269</v>
      </c>
      <c r="D3966" s="36" t="s">
        <v>299</v>
      </c>
      <c r="E3966" s="37">
        <v>6.3E-3</v>
      </c>
      <c r="F3966" s="54">
        <v>44.954000000000001</v>
      </c>
      <c r="G3966" s="54">
        <f t="shared" si="67"/>
        <v>0.28321020000000002</v>
      </c>
      <c r="H3966" s="73"/>
      <c r="I3966" s="74"/>
      <c r="J3966" s="156">
        <v>0</v>
      </c>
    </row>
    <row r="3967" spans="1:10" ht="26.25" hidden="1" thickBot="1" x14ac:dyDescent="0.3">
      <c r="A3967" s="227"/>
      <c r="B3967" s="225"/>
      <c r="C3967" s="36" t="s">
        <v>1012</v>
      </c>
      <c r="D3967" s="36" t="s">
        <v>759</v>
      </c>
      <c r="E3967" s="37">
        <v>6.4000000000000001E-2</v>
      </c>
      <c r="F3967" s="54">
        <v>16.891000000000002</v>
      </c>
      <c r="G3967" s="54">
        <f t="shared" si="67"/>
        <v>1.0810240000000002</v>
      </c>
      <c r="H3967" s="73"/>
      <c r="I3967" s="74"/>
      <c r="J3967" s="156">
        <v>0</v>
      </c>
    </row>
    <row r="3968" spans="1:10" ht="26.25" hidden="1" thickBot="1" x14ac:dyDescent="0.3">
      <c r="A3968" s="227"/>
      <c r="B3968" s="225"/>
      <c r="C3968" s="36" t="s">
        <v>1013</v>
      </c>
      <c r="D3968" s="36" t="s">
        <v>759</v>
      </c>
      <c r="E3968" s="37">
        <v>6.4000000000000001E-2</v>
      </c>
      <c r="F3968" s="54">
        <v>21.622</v>
      </c>
      <c r="G3968" s="54">
        <f t="shared" si="67"/>
        <v>1.3838079999999999</v>
      </c>
      <c r="H3968" s="73"/>
      <c r="I3968" s="74"/>
      <c r="J3968" s="156">
        <v>0</v>
      </c>
    </row>
    <row r="3969" spans="1:10" ht="15.75" hidden="1" thickBot="1" x14ac:dyDescent="0.3">
      <c r="A3969" s="228"/>
      <c r="B3969" s="226"/>
      <c r="C3969" s="55"/>
      <c r="D3969" s="55"/>
      <c r="E3969" s="66"/>
      <c r="F3969" s="76" t="s">
        <v>572</v>
      </c>
      <c r="G3969" s="76" t="str">
        <f t="shared" si="67"/>
        <v/>
      </c>
      <c r="H3969" s="77"/>
      <c r="I3969" s="74"/>
      <c r="J3969" s="156">
        <v>0</v>
      </c>
    </row>
    <row r="3970" spans="1:10" ht="15.75" hidden="1" thickBot="1" x14ac:dyDescent="0.3">
      <c r="A3970" s="221" t="s">
        <v>1280</v>
      </c>
      <c r="B3970" s="224" t="str">
        <f>INDEX(Orçamentária!A:B,MATCH(Composições!A3970,Orçamentária!A:A,0),2)</f>
        <v>Tubo de cobre rígido 1 3/8"</v>
      </c>
      <c r="C3970" s="41"/>
      <c r="D3970" s="26" t="str">
        <f>TRIM(INDEX(Orçamentária!C:C,MATCH(Composições!A3970,Orçamentária!A:A,0),1))</f>
        <v>m</v>
      </c>
      <c r="E3970" s="27"/>
      <c r="F3970" s="49" t="s">
        <v>572</v>
      </c>
      <c r="G3970" s="28" t="str">
        <f t="shared" si="67"/>
        <v/>
      </c>
      <c r="H3970" s="29"/>
      <c r="I3970" s="30"/>
      <c r="J3970" s="156">
        <v>0</v>
      </c>
    </row>
    <row r="3971" spans="1:10" ht="15.75" hidden="1" thickBot="1" x14ac:dyDescent="0.3">
      <c r="A3971" s="227"/>
      <c r="B3971" s="225"/>
      <c r="C3971" s="32"/>
      <c r="D3971" s="32"/>
      <c r="E3971" s="33"/>
      <c r="F3971" s="54" t="s">
        <v>572</v>
      </c>
      <c r="G3971" s="54" t="str">
        <f t="shared" si="67"/>
        <v/>
      </c>
      <c r="H3971" s="73"/>
      <c r="I3971" s="74"/>
      <c r="J3971" s="156">
        <v>0</v>
      </c>
    </row>
    <row r="3972" spans="1:10" ht="39" hidden="1" thickBot="1" x14ac:dyDescent="0.3">
      <c r="A3972" s="227"/>
      <c r="B3972" s="225"/>
      <c r="C3972" s="36" t="s">
        <v>1281</v>
      </c>
      <c r="D3972" s="36" t="s">
        <v>527</v>
      </c>
      <c r="E3972" s="37">
        <v>1.0210999999999999</v>
      </c>
      <c r="F3972" s="54">
        <v>124.83</v>
      </c>
      <c r="G3972" s="54">
        <f t="shared" si="67"/>
        <v>127.46391299999999</v>
      </c>
      <c r="H3972" s="39">
        <f>SUM(G3972:G3974)</f>
        <v>130.00577099999998</v>
      </c>
      <c r="I3972" s="40"/>
      <c r="J3972" s="156">
        <v>0</v>
      </c>
    </row>
    <row r="3973" spans="1:10" ht="26.25" hidden="1" thickBot="1" x14ac:dyDescent="0.3">
      <c r="A3973" s="227"/>
      <c r="B3973" s="225"/>
      <c r="C3973" s="36" t="s">
        <v>1012</v>
      </c>
      <c r="D3973" s="36" t="s">
        <v>759</v>
      </c>
      <c r="E3973" s="37">
        <v>6.6000000000000003E-2</v>
      </c>
      <c r="F3973" s="54">
        <v>16.891000000000002</v>
      </c>
      <c r="G3973" s="54">
        <f t="shared" si="67"/>
        <v>1.1148060000000002</v>
      </c>
      <c r="H3973" s="73"/>
      <c r="I3973" s="74"/>
      <c r="J3973" s="156">
        <v>0</v>
      </c>
    </row>
    <row r="3974" spans="1:10" ht="26.25" hidden="1" thickBot="1" x14ac:dyDescent="0.3">
      <c r="A3974" s="227"/>
      <c r="B3974" s="225"/>
      <c r="C3974" s="36" t="s">
        <v>1013</v>
      </c>
      <c r="D3974" s="36" t="s">
        <v>759</v>
      </c>
      <c r="E3974" s="37">
        <v>6.6000000000000003E-2</v>
      </c>
      <c r="F3974" s="54">
        <v>21.622</v>
      </c>
      <c r="G3974" s="54">
        <f t="shared" si="67"/>
        <v>1.427052</v>
      </c>
      <c r="H3974" s="73"/>
      <c r="I3974" s="74"/>
      <c r="J3974" s="156">
        <v>0</v>
      </c>
    </row>
    <row r="3975" spans="1:10" ht="15.75" hidden="1" thickBot="1" x14ac:dyDescent="0.3">
      <c r="A3975" s="227"/>
      <c r="B3975" s="225"/>
      <c r="C3975" s="55"/>
      <c r="D3975" s="55"/>
      <c r="E3975" s="66"/>
      <c r="F3975" s="76" t="s">
        <v>572</v>
      </c>
      <c r="G3975" s="76" t="str">
        <f t="shared" si="67"/>
        <v/>
      </c>
      <c r="H3975" s="77"/>
      <c r="I3975" s="74"/>
      <c r="J3975" s="156">
        <v>0</v>
      </c>
    </row>
    <row r="3976" spans="1:10" ht="15.75" hidden="1" thickBot="1" x14ac:dyDescent="0.3">
      <c r="A3976" s="221" t="s">
        <v>1282</v>
      </c>
      <c r="B3976" s="224" t="str">
        <f>INDEX(Orçamentária!A:B,MATCH(Composições!A3976,Orçamentária!A:A,0),2)</f>
        <v>Tubo de cobre rígido 1 5/8"</v>
      </c>
      <c r="C3976" s="41"/>
      <c r="D3976" s="26" t="str">
        <f>TRIM(INDEX(Orçamentária!C:C,MATCH(Composições!A3976,Orçamentária!A:A,0),1))</f>
        <v>m</v>
      </c>
      <c r="E3976" s="27"/>
      <c r="F3976" s="49" t="s">
        <v>572</v>
      </c>
      <c r="G3976" s="28" t="str">
        <f t="shared" si="67"/>
        <v/>
      </c>
      <c r="H3976" s="29"/>
      <c r="I3976" s="30"/>
      <c r="J3976" s="156">
        <v>0</v>
      </c>
    </row>
    <row r="3977" spans="1:10" ht="15.75" hidden="1" thickBot="1" x14ac:dyDescent="0.3">
      <c r="A3977" s="227"/>
      <c r="B3977" s="225"/>
      <c r="C3977" s="32"/>
      <c r="D3977" s="32"/>
      <c r="E3977" s="33"/>
      <c r="F3977" s="54" t="s">
        <v>572</v>
      </c>
      <c r="G3977" s="54" t="str">
        <f t="shared" si="67"/>
        <v/>
      </c>
      <c r="H3977" s="73"/>
      <c r="I3977" s="74"/>
      <c r="J3977" s="156">
        <v>0</v>
      </c>
    </row>
    <row r="3978" spans="1:10" ht="39" hidden="1" thickBot="1" x14ac:dyDescent="0.3">
      <c r="A3978" s="227"/>
      <c r="B3978" s="225"/>
      <c r="C3978" s="36" t="s">
        <v>1283</v>
      </c>
      <c r="D3978" s="36" t="s">
        <v>527</v>
      </c>
      <c r="E3978" s="37">
        <v>1.0210999999999999</v>
      </c>
      <c r="F3978" s="54">
        <v>150.18549999999999</v>
      </c>
      <c r="G3978" s="54">
        <f t="shared" si="67"/>
        <v>153.35441404999997</v>
      </c>
      <c r="H3978" s="39">
        <f>SUM(G3978:G3980)</f>
        <v>156.28140204999997</v>
      </c>
      <c r="I3978" s="40"/>
      <c r="J3978" s="156">
        <v>0</v>
      </c>
    </row>
    <row r="3979" spans="1:10" ht="26.25" hidden="1" thickBot="1" x14ac:dyDescent="0.3">
      <c r="A3979" s="227"/>
      <c r="B3979" s="225"/>
      <c r="C3979" s="36" t="s">
        <v>1012</v>
      </c>
      <c r="D3979" s="36" t="s">
        <v>759</v>
      </c>
      <c r="E3979" s="37">
        <v>7.5999999999999998E-2</v>
      </c>
      <c r="F3979" s="54">
        <v>16.891000000000002</v>
      </c>
      <c r="G3979" s="54">
        <f t="shared" si="67"/>
        <v>1.2837160000000001</v>
      </c>
      <c r="H3979" s="73"/>
      <c r="I3979" s="74"/>
      <c r="J3979" s="156">
        <v>0</v>
      </c>
    </row>
    <row r="3980" spans="1:10" ht="26.25" hidden="1" thickBot="1" x14ac:dyDescent="0.3">
      <c r="A3980" s="227"/>
      <c r="B3980" s="225"/>
      <c r="C3980" s="36" t="s">
        <v>1013</v>
      </c>
      <c r="D3980" s="36" t="s">
        <v>759</v>
      </c>
      <c r="E3980" s="37">
        <v>7.5999999999999998E-2</v>
      </c>
      <c r="F3980" s="54">
        <v>21.622</v>
      </c>
      <c r="G3980" s="54">
        <f t="shared" si="67"/>
        <v>1.6432719999999998</v>
      </c>
      <c r="H3980" s="73"/>
      <c r="I3980" s="74"/>
      <c r="J3980" s="156">
        <v>0</v>
      </c>
    </row>
    <row r="3981" spans="1:10" ht="15.75" hidden="1" thickBot="1" x14ac:dyDescent="0.3">
      <c r="A3981" s="227"/>
      <c r="B3981" s="225"/>
      <c r="C3981" s="55"/>
      <c r="D3981" s="55"/>
      <c r="E3981" s="66"/>
      <c r="F3981" s="76" t="s">
        <v>572</v>
      </c>
      <c r="G3981" s="76" t="str">
        <f t="shared" si="67"/>
        <v/>
      </c>
      <c r="H3981" s="77"/>
      <c r="I3981" s="74"/>
      <c r="J3981" s="156">
        <v>0</v>
      </c>
    </row>
    <row r="3982" spans="1:10" ht="15.75" hidden="1" thickBot="1" x14ac:dyDescent="0.3">
      <c r="A3982" s="221" t="s">
        <v>1284</v>
      </c>
      <c r="B3982" s="224" t="str">
        <f>INDEX(Orçamentária!A:B,MATCH(Composições!A3982,Orçamentária!A:A,0),2)</f>
        <v>Eletroduto flexível metálico com capa de PVC 1 1/2"</v>
      </c>
      <c r="C3982" s="41"/>
      <c r="D3982" s="26" t="str">
        <f>TRIM(INDEX(Orçamentária!C:C,MATCH(Composições!A3982,Orçamentária!A:A,0),1))</f>
        <v>m</v>
      </c>
      <c r="E3982" s="27"/>
      <c r="F3982" s="49" t="s">
        <v>572</v>
      </c>
      <c r="G3982" s="28" t="str">
        <f t="shared" si="67"/>
        <v/>
      </c>
      <c r="H3982" s="29"/>
      <c r="I3982" s="30"/>
      <c r="J3982" s="156">
        <v>0</v>
      </c>
    </row>
    <row r="3983" spans="1:10" ht="15.75" hidden="1" thickBot="1" x14ac:dyDescent="0.3">
      <c r="A3983" s="227"/>
      <c r="B3983" s="225"/>
      <c r="C3983" s="32"/>
      <c r="D3983" s="32"/>
      <c r="E3983" s="33"/>
      <c r="F3983" s="54" t="s">
        <v>572</v>
      </c>
      <c r="G3983" s="54" t="str">
        <f t="shared" si="67"/>
        <v/>
      </c>
      <c r="H3983" s="73"/>
      <c r="I3983" s="74"/>
      <c r="J3983" s="156">
        <v>0</v>
      </c>
    </row>
    <row r="3984" spans="1:10" ht="39" hidden="1" thickBot="1" x14ac:dyDescent="0.3">
      <c r="A3984" s="227"/>
      <c r="B3984" s="225"/>
      <c r="C3984" s="36" t="s">
        <v>1285</v>
      </c>
      <c r="D3984" s="47" t="s">
        <v>527</v>
      </c>
      <c r="E3984" s="37">
        <v>1.1000000000000001</v>
      </c>
      <c r="F3984" s="54">
        <v>26.761500000000002</v>
      </c>
      <c r="G3984" s="54">
        <f t="shared" si="67"/>
        <v>29.437650000000005</v>
      </c>
      <c r="H3984" s="39">
        <f>SUM(G3984:G3987)</f>
        <v>34.673032550000002</v>
      </c>
      <c r="I3984" s="40"/>
      <c r="J3984" s="156">
        <v>0</v>
      </c>
    </row>
    <row r="3985" spans="1:10" ht="26.25" hidden="1" thickBot="1" x14ac:dyDescent="0.3">
      <c r="A3985" s="227"/>
      <c r="B3985" s="225"/>
      <c r="C3985" s="36" t="s">
        <v>3606</v>
      </c>
      <c r="D3985" s="47" t="s">
        <v>957</v>
      </c>
      <c r="E3985" s="37">
        <v>2.3E-3</v>
      </c>
      <c r="F3985" s="54">
        <v>18.838499999999996</v>
      </c>
      <c r="G3985" s="54">
        <f t="shared" si="67"/>
        <v>4.3328549999999993E-2</v>
      </c>
      <c r="H3985" s="73"/>
      <c r="I3985" s="74"/>
      <c r="J3985" s="156">
        <v>0</v>
      </c>
    </row>
    <row r="3986" spans="1:10" ht="15.75" hidden="1" thickBot="1" x14ac:dyDescent="0.3">
      <c r="A3986" s="227"/>
      <c r="B3986" s="225"/>
      <c r="C3986" s="36" t="s">
        <v>1232</v>
      </c>
      <c r="D3986" s="36" t="s">
        <v>759</v>
      </c>
      <c r="E3986" s="37">
        <v>0.13100000000000001</v>
      </c>
      <c r="F3986" s="54">
        <v>17.366</v>
      </c>
      <c r="G3986" s="54">
        <f t="shared" ref="G3986:G4049" si="68">IF(ISNUMBER(F3986),E3986*F3986,"")</f>
        <v>2.2749459999999999</v>
      </c>
      <c r="H3986" s="73"/>
      <c r="I3986" s="74"/>
      <c r="J3986" s="156">
        <v>0</v>
      </c>
    </row>
    <row r="3987" spans="1:10" ht="15.75" hidden="1" thickBot="1" x14ac:dyDescent="0.3">
      <c r="A3987" s="227"/>
      <c r="B3987" s="225"/>
      <c r="C3987" s="36" t="s">
        <v>1233</v>
      </c>
      <c r="D3987" s="36" t="s">
        <v>759</v>
      </c>
      <c r="E3987" s="37">
        <v>0.13100000000000001</v>
      </c>
      <c r="F3987" s="54">
        <v>22.268000000000001</v>
      </c>
      <c r="G3987" s="54">
        <f t="shared" si="68"/>
        <v>2.9171080000000003</v>
      </c>
      <c r="H3987" s="73"/>
      <c r="I3987" s="74"/>
      <c r="J3987" s="156">
        <v>0</v>
      </c>
    </row>
    <row r="3988" spans="1:10" ht="15.75" hidden="1" thickBot="1" x14ac:dyDescent="0.3">
      <c r="A3988" s="227"/>
      <c r="B3988" s="225"/>
      <c r="C3988" s="55"/>
      <c r="D3988" s="55"/>
      <c r="E3988" s="66"/>
      <c r="F3988" s="76" t="s">
        <v>572</v>
      </c>
      <c r="G3988" s="76" t="str">
        <f t="shared" si="68"/>
        <v/>
      </c>
      <c r="H3988" s="77"/>
      <c r="I3988" s="74"/>
      <c r="J3988" s="156">
        <v>0</v>
      </c>
    </row>
    <row r="3989" spans="1:10" ht="15.75" hidden="1" thickBot="1" x14ac:dyDescent="0.3">
      <c r="A3989" s="221" t="s">
        <v>1286</v>
      </c>
      <c r="B3989" s="224" t="str">
        <f>INDEX(Orçamentária!A:B,MATCH(Composições!A3989,Orçamentária!A:A,0),2)</f>
        <v>Técnico(a) em Edificações - Planejamento de Manutenção</v>
      </c>
      <c r="C3989" s="41"/>
      <c r="D3989" s="26" t="str">
        <f>TRIM(INDEX(Orçamentária!C:C,MATCH(Composições!A3989,Orçamentária!A:A,0),1))</f>
        <v>Profissional</v>
      </c>
      <c r="E3989" s="27"/>
      <c r="F3989" s="49" t="s">
        <v>572</v>
      </c>
      <c r="G3989" s="28" t="str">
        <f t="shared" si="68"/>
        <v/>
      </c>
      <c r="H3989" s="29"/>
      <c r="I3989" s="30"/>
      <c r="J3989" s="156">
        <v>0</v>
      </c>
    </row>
    <row r="3990" spans="1:10" ht="15.75" hidden="1" thickBot="1" x14ac:dyDescent="0.3">
      <c r="A3990" s="227"/>
      <c r="B3990" s="225"/>
      <c r="C3990" s="32"/>
      <c r="D3990" s="32"/>
      <c r="E3990" s="33"/>
      <c r="F3990" s="54" t="s">
        <v>572</v>
      </c>
      <c r="G3990" s="54" t="str">
        <f t="shared" si="68"/>
        <v/>
      </c>
      <c r="H3990" s="73"/>
      <c r="I3990" s="74"/>
      <c r="J3990" s="156">
        <v>0</v>
      </c>
    </row>
    <row r="3991" spans="1:10" ht="15.75" hidden="1" thickBot="1" x14ac:dyDescent="0.3">
      <c r="A3991" s="227"/>
      <c r="B3991" s="225"/>
      <c r="C3991" s="36" t="s">
        <v>1287</v>
      </c>
      <c r="D3991" s="47" t="s">
        <v>12</v>
      </c>
      <c r="E3991" s="37">
        <f>ROUND(1/(1+72.54%),2)</f>
        <v>0.57999999999999996</v>
      </c>
      <c r="F3991" s="54">
        <v>2972.3409999999999</v>
      </c>
      <c r="G3991" s="54">
        <f t="shared" si="68"/>
        <v>1723.9577799999997</v>
      </c>
      <c r="H3991" s="39">
        <f>SUM(G3991:G3991)</f>
        <v>1723.9577799999997</v>
      </c>
      <c r="I3991" s="40"/>
      <c r="J3991" s="156">
        <v>0</v>
      </c>
    </row>
    <row r="3992" spans="1:10" ht="15.75" hidden="1" thickBot="1" x14ac:dyDescent="0.3">
      <c r="A3992" s="227"/>
      <c r="B3992" s="225"/>
      <c r="C3992" s="36"/>
      <c r="D3992" s="47"/>
      <c r="E3992" s="37"/>
      <c r="F3992" s="54" t="s">
        <v>572</v>
      </c>
      <c r="G3992" s="54" t="str">
        <f t="shared" si="68"/>
        <v/>
      </c>
      <c r="H3992" s="73"/>
      <c r="I3992" s="74"/>
      <c r="J3992" s="156">
        <v>0</v>
      </c>
    </row>
    <row r="3993" spans="1:10" ht="26.25" hidden="1" thickBot="1" x14ac:dyDescent="0.3">
      <c r="A3993" s="227"/>
      <c r="B3993" s="225"/>
      <c r="C3993" s="48" t="s">
        <v>838</v>
      </c>
      <c r="D3993" s="47"/>
      <c r="E3993" s="37"/>
      <c r="F3993" s="54" t="s">
        <v>572</v>
      </c>
      <c r="G3993" s="54" t="str">
        <f t="shared" si="68"/>
        <v/>
      </c>
      <c r="H3993" s="73"/>
      <c r="I3993" s="74"/>
      <c r="J3993" s="156">
        <v>0</v>
      </c>
    </row>
    <row r="3994" spans="1:10" ht="15.75" hidden="1" thickBot="1" x14ac:dyDescent="0.3">
      <c r="A3994" s="227"/>
      <c r="B3994" s="225"/>
      <c r="C3994" s="55"/>
      <c r="D3994" s="55"/>
      <c r="E3994" s="66"/>
      <c r="F3994" s="76" t="s">
        <v>572</v>
      </c>
      <c r="G3994" s="76" t="str">
        <f t="shared" si="68"/>
        <v/>
      </c>
      <c r="H3994" s="77"/>
      <c r="I3994" s="74"/>
      <c r="J3994" s="156">
        <v>0</v>
      </c>
    </row>
    <row r="3995" spans="1:10" ht="15.75" hidden="1" thickBot="1" x14ac:dyDescent="0.3">
      <c r="A3995" s="221" t="s">
        <v>1288</v>
      </c>
      <c r="B3995" s="224" t="str">
        <f>INDEX(Orçamentária!A:B,MATCH(Composições!A3995,Orçamentária!A:A,0),2)</f>
        <v>Projeto de Impermeabilização</v>
      </c>
      <c r="C3995" s="41"/>
      <c r="D3995" s="26" t="str">
        <f>TRIM(INDEX(Orçamentária!C:C,MATCH(Composições!A3995,Orçamentária!A:A,0),1))</f>
        <v>m2</v>
      </c>
      <c r="E3995" s="27"/>
      <c r="F3995" s="49" t="s">
        <v>572</v>
      </c>
      <c r="G3995" s="28" t="str">
        <f t="shared" si="68"/>
        <v/>
      </c>
      <c r="H3995" s="29"/>
      <c r="I3995" s="30"/>
      <c r="J3995" s="156">
        <v>0</v>
      </c>
    </row>
    <row r="3996" spans="1:10" ht="15.75" hidden="1" thickBot="1" x14ac:dyDescent="0.3">
      <c r="A3996" s="227"/>
      <c r="B3996" s="225"/>
      <c r="C3996" s="32"/>
      <c r="D3996" s="32"/>
      <c r="E3996" s="33"/>
      <c r="F3996" s="54" t="s">
        <v>572</v>
      </c>
      <c r="G3996" s="54" t="str">
        <f t="shared" si="68"/>
        <v/>
      </c>
      <c r="H3996" s="73"/>
      <c r="I3996" s="74"/>
      <c r="J3996" s="156">
        <v>0</v>
      </c>
    </row>
    <row r="3997" spans="1:10" ht="15.75" hidden="1" thickBot="1" x14ac:dyDescent="0.3">
      <c r="A3997" s="227"/>
      <c r="B3997" s="225"/>
      <c r="C3997" s="36" t="s">
        <v>1289</v>
      </c>
      <c r="D3997" s="47" t="s">
        <v>12</v>
      </c>
      <c r="E3997" s="37">
        <f>ROUND(1/10,4)</f>
        <v>0.1</v>
      </c>
      <c r="F3997" s="54">
        <v>100.6525</v>
      </c>
      <c r="G3997" s="54">
        <f t="shared" si="68"/>
        <v>10.065250000000001</v>
      </c>
      <c r="H3997" s="39">
        <f>SUM(G3997:G3997)</f>
        <v>10.065250000000001</v>
      </c>
      <c r="I3997" s="40"/>
      <c r="J3997" s="156">
        <v>0</v>
      </c>
    </row>
    <row r="3998" spans="1:10" ht="15.75" hidden="1" thickBot="1" x14ac:dyDescent="0.3">
      <c r="A3998" s="227"/>
      <c r="B3998" s="225"/>
      <c r="C3998" s="36"/>
      <c r="D3998" s="47"/>
      <c r="E3998" s="37"/>
      <c r="F3998" s="54" t="s">
        <v>572</v>
      </c>
      <c r="G3998" s="54" t="str">
        <f t="shared" si="68"/>
        <v/>
      </c>
      <c r="H3998" s="73"/>
      <c r="I3998" s="74"/>
      <c r="J3998" s="156">
        <v>0</v>
      </c>
    </row>
    <row r="3999" spans="1:10" ht="15.75" hidden="1" thickBot="1" x14ac:dyDescent="0.3">
      <c r="A3999" s="221" t="s">
        <v>1290</v>
      </c>
      <c r="B3999" s="224" t="str">
        <f>INDEX(Orçamentária!A:B,MATCH(Composições!A3999,Orçamentária!A:A,0),2)</f>
        <v>Laminado decorativo de alta pressão (LDAP)</v>
      </c>
      <c r="C3999" s="41"/>
      <c r="D3999" s="26" t="str">
        <f>TRIM(INDEX(Orçamentária!C:C,MATCH(Composições!A3999,Orçamentária!A:A,0),1))</f>
        <v>m2</v>
      </c>
      <c r="E3999" s="27"/>
      <c r="F3999" s="49" t="s">
        <v>572</v>
      </c>
      <c r="G3999" s="28" t="str">
        <f t="shared" si="68"/>
        <v/>
      </c>
      <c r="H3999" s="29"/>
      <c r="I3999" s="30"/>
      <c r="J3999" s="156">
        <v>0</v>
      </c>
    </row>
    <row r="4000" spans="1:10" ht="15.75" hidden="1" thickBot="1" x14ac:dyDescent="0.3">
      <c r="A4000" s="227"/>
      <c r="B4000" s="225"/>
      <c r="C4000" s="32"/>
      <c r="D4000" s="32"/>
      <c r="E4000" s="33"/>
      <c r="F4000" s="54" t="s">
        <v>572</v>
      </c>
      <c r="G4000" s="54" t="str">
        <f t="shared" si="68"/>
        <v/>
      </c>
      <c r="H4000" s="73"/>
      <c r="I4000" s="74"/>
      <c r="J4000" s="156">
        <v>0</v>
      </c>
    </row>
    <row r="4001" spans="1:10" ht="15.75" hidden="1" thickBot="1" x14ac:dyDescent="0.3">
      <c r="A4001" s="227"/>
      <c r="B4001" s="225"/>
      <c r="C4001" s="36" t="s">
        <v>23</v>
      </c>
      <c r="D4001" s="47" t="s">
        <v>12</v>
      </c>
      <c r="E4001" s="37">
        <v>0.18</v>
      </c>
      <c r="F4001" s="54">
        <v>16.311500000000002</v>
      </c>
      <c r="G4001" s="54">
        <f t="shared" si="68"/>
        <v>2.9360700000000004</v>
      </c>
      <c r="H4001" s="39">
        <f>SUM(G4001:G4004)</f>
        <v>38.013300000000001</v>
      </c>
      <c r="I4001" s="40"/>
      <c r="J4001" s="156">
        <v>0</v>
      </c>
    </row>
    <row r="4002" spans="1:10" ht="15.75" hidden="1" thickBot="1" x14ac:dyDescent="0.3">
      <c r="A4002" s="227"/>
      <c r="B4002" s="225"/>
      <c r="C4002" s="36" t="s">
        <v>1291</v>
      </c>
      <c r="D4002" s="47" t="s">
        <v>12</v>
      </c>
      <c r="E4002" s="37">
        <v>0.18</v>
      </c>
      <c r="F4002" s="54">
        <v>25.535999999999998</v>
      </c>
      <c r="G4002" s="54">
        <f t="shared" si="68"/>
        <v>4.5964799999999997</v>
      </c>
      <c r="H4002" s="73"/>
      <c r="I4002" s="74"/>
      <c r="J4002" s="156">
        <v>0</v>
      </c>
    </row>
    <row r="4003" spans="1:10" ht="15.75" hidden="1" thickBot="1" x14ac:dyDescent="0.3">
      <c r="A4003" s="227"/>
      <c r="B4003" s="225"/>
      <c r="C4003" s="36" t="s">
        <v>249</v>
      </c>
      <c r="D4003" s="36" t="s">
        <v>42</v>
      </c>
      <c r="E4003" s="37">
        <v>0.9</v>
      </c>
      <c r="F4003" s="54">
        <v>33.8675</v>
      </c>
      <c r="G4003" s="54">
        <f t="shared" si="68"/>
        <v>30.48075</v>
      </c>
      <c r="H4003" s="73"/>
      <c r="I4003" s="74"/>
      <c r="J4003" s="156">
        <v>0</v>
      </c>
    </row>
    <row r="4004" spans="1:10" ht="15.75" hidden="1" thickBot="1" x14ac:dyDescent="0.3">
      <c r="A4004" s="227"/>
      <c r="B4004" s="225"/>
      <c r="C4004" s="36" t="s">
        <v>1292</v>
      </c>
      <c r="D4004" s="36" t="s">
        <v>96</v>
      </c>
      <c r="E4004" s="37">
        <v>1.05</v>
      </c>
      <c r="F4004" s="54">
        <v>0</v>
      </c>
      <c r="G4004" s="54">
        <f t="shared" si="68"/>
        <v>0</v>
      </c>
      <c r="H4004" s="73"/>
      <c r="I4004" s="74"/>
      <c r="J4004" s="156">
        <v>0</v>
      </c>
    </row>
    <row r="4005" spans="1:10" ht="15.75" hidden="1" thickBot="1" x14ac:dyDescent="0.3">
      <c r="A4005" s="227"/>
      <c r="B4005" s="225"/>
      <c r="C4005" s="55"/>
      <c r="D4005" s="55"/>
      <c r="E4005" s="66"/>
      <c r="F4005" s="76" t="s">
        <v>572</v>
      </c>
      <c r="G4005" s="76" t="str">
        <f t="shared" si="68"/>
        <v/>
      </c>
      <c r="H4005" s="77"/>
      <c r="I4005" s="74"/>
      <c r="J4005" s="156">
        <v>0</v>
      </c>
    </row>
    <row r="4006" spans="1:10" ht="15.75" hidden="1" thickBot="1" x14ac:dyDescent="0.3">
      <c r="A4006" s="221" t="s">
        <v>1293</v>
      </c>
      <c r="B4006" s="224" t="str">
        <f>INDEX(Orçamentária!A:B,MATCH(Composições!A4006,Orçamentária!A:A,0),2)</f>
        <v>Granito Preto Absoluto para revestimento de superfícies internas e externas - Linha Administrativa</v>
      </c>
      <c r="C4006" s="41"/>
      <c r="D4006" s="26" t="str">
        <f>TRIM(INDEX(Orçamentária!C:C,MATCH(Composições!A4006,Orçamentária!A:A,0),1))</f>
        <v>m2</v>
      </c>
      <c r="E4006" s="27"/>
      <c r="F4006" s="42" t="s">
        <v>572</v>
      </c>
      <c r="G4006" s="28" t="str">
        <f t="shared" si="68"/>
        <v/>
      </c>
      <c r="H4006" s="29"/>
      <c r="I4006" s="30"/>
      <c r="J4006" s="156">
        <v>0</v>
      </c>
    </row>
    <row r="4007" spans="1:10" ht="15.75" hidden="1" thickBot="1" x14ac:dyDescent="0.3">
      <c r="A4007" s="222"/>
      <c r="B4007" s="225"/>
      <c r="C4007" s="32"/>
      <c r="D4007" s="32"/>
      <c r="E4007" s="33"/>
      <c r="F4007" s="43" t="s">
        <v>572</v>
      </c>
      <c r="G4007" s="31" t="str">
        <f t="shared" si="68"/>
        <v/>
      </c>
      <c r="H4007" s="35"/>
      <c r="I4007" s="31"/>
      <c r="J4007" s="156">
        <v>0</v>
      </c>
    </row>
    <row r="4008" spans="1:10" ht="15.75" hidden="1" thickBot="1" x14ac:dyDescent="0.3">
      <c r="A4008" s="222"/>
      <c r="B4008" s="225"/>
      <c r="C4008" s="36" t="s">
        <v>3623</v>
      </c>
      <c r="D4008" s="36" t="s">
        <v>42</v>
      </c>
      <c r="E4008" s="37">
        <v>8.6199999999999992</v>
      </c>
      <c r="F4008" s="34">
        <v>1.3109999999999999</v>
      </c>
      <c r="G4008" s="34">
        <f t="shared" si="68"/>
        <v>11.300819999999998</v>
      </c>
      <c r="H4008" s="39">
        <f>SUM(G4008:G4012)</f>
        <v>43.224525</v>
      </c>
      <c r="I4008" s="40"/>
      <c r="J4008" s="156">
        <v>0</v>
      </c>
    </row>
    <row r="4009" spans="1:10" ht="15.75" hidden="1" thickBot="1" x14ac:dyDescent="0.3">
      <c r="A4009" s="222"/>
      <c r="B4009" s="225"/>
      <c r="C4009" s="36" t="s">
        <v>54</v>
      </c>
      <c r="D4009" s="36" t="s">
        <v>12</v>
      </c>
      <c r="E4009" s="37">
        <v>1.1879999999999999</v>
      </c>
      <c r="F4009" s="31">
        <v>18.420500000000001</v>
      </c>
      <c r="G4009" s="34">
        <f t="shared" si="68"/>
        <v>21.883554</v>
      </c>
      <c r="H4009" s="35"/>
      <c r="I4009" s="31"/>
      <c r="J4009" s="156">
        <v>0</v>
      </c>
    </row>
    <row r="4010" spans="1:10" ht="15.75" hidden="1" thickBot="1" x14ac:dyDescent="0.3">
      <c r="A4010" s="222"/>
      <c r="B4010" s="225"/>
      <c r="C4010" s="36" t="s">
        <v>23</v>
      </c>
      <c r="D4010" s="36" t="s">
        <v>12</v>
      </c>
      <c r="E4010" s="37">
        <v>0.59399999999999997</v>
      </c>
      <c r="F4010" s="31">
        <v>16.311500000000002</v>
      </c>
      <c r="G4010" s="34">
        <f t="shared" si="68"/>
        <v>9.6890310000000017</v>
      </c>
      <c r="H4010" s="35"/>
      <c r="I4010" s="31"/>
      <c r="J4010" s="156">
        <v>0</v>
      </c>
    </row>
    <row r="4011" spans="1:10" ht="15.75" hidden="1" thickBot="1" x14ac:dyDescent="0.3">
      <c r="A4011" s="222"/>
      <c r="B4011" s="225"/>
      <c r="C4011" s="36" t="s">
        <v>3622</v>
      </c>
      <c r="D4011" s="36" t="s">
        <v>42</v>
      </c>
      <c r="E4011" s="37">
        <v>0.14000000000000001</v>
      </c>
      <c r="F4011" s="34">
        <v>2.508</v>
      </c>
      <c r="G4011" s="34">
        <f t="shared" si="68"/>
        <v>0.35112000000000004</v>
      </c>
      <c r="H4011" s="35"/>
      <c r="I4011" s="31"/>
      <c r="J4011" s="156">
        <v>0</v>
      </c>
    </row>
    <row r="4012" spans="1:10" ht="15.75" hidden="1" thickBot="1" x14ac:dyDescent="0.3">
      <c r="A4012" s="222"/>
      <c r="B4012" s="225"/>
      <c r="C4012" s="36" t="s">
        <v>1294</v>
      </c>
      <c r="D4012" s="36" t="s">
        <v>96</v>
      </c>
      <c r="E4012" s="37">
        <v>1.1599999999999999</v>
      </c>
      <c r="F4012" s="34" t="s">
        <v>572</v>
      </c>
      <c r="G4012" s="54" t="str">
        <f t="shared" si="68"/>
        <v/>
      </c>
      <c r="H4012" s="35"/>
      <c r="I4012" s="31"/>
      <c r="J4012" s="156">
        <v>0</v>
      </c>
    </row>
    <row r="4013" spans="1:10" ht="15.75" hidden="1" thickBot="1" x14ac:dyDescent="0.3">
      <c r="A4013" s="223"/>
      <c r="B4013" s="226"/>
      <c r="C4013" s="36"/>
      <c r="D4013" s="36"/>
      <c r="E4013" s="37"/>
      <c r="F4013" s="31" t="s">
        <v>572</v>
      </c>
      <c r="G4013" s="31" t="str">
        <f t="shared" si="68"/>
        <v/>
      </c>
      <c r="H4013" s="35"/>
      <c r="I4013" s="31"/>
      <c r="J4013" s="156">
        <v>0</v>
      </c>
    </row>
    <row r="4014" spans="1:10" ht="15.75" hidden="1" thickBot="1" x14ac:dyDescent="0.3">
      <c r="A4014" s="221" t="s">
        <v>1295</v>
      </c>
      <c r="B4014" s="224" t="str">
        <f>INDEX(Orçamentária!A:B,MATCH(Composições!A4014,Orçamentária!A:A,0),2)</f>
        <v>Granito Arabesco para revestimento de superfícies internas e externas - Linha Administrativa</v>
      </c>
      <c r="C4014" s="41"/>
      <c r="D4014" s="26" t="str">
        <f>TRIM(INDEX(Orçamentária!C:C,MATCH(Composições!A4014,Orçamentária!A:A,0),1))</f>
        <v>m2</v>
      </c>
      <c r="E4014" s="27"/>
      <c r="F4014" s="42" t="s">
        <v>572</v>
      </c>
      <c r="G4014" s="28" t="str">
        <f t="shared" si="68"/>
        <v/>
      </c>
      <c r="H4014" s="29"/>
      <c r="I4014" s="30"/>
      <c r="J4014" s="156">
        <v>0</v>
      </c>
    </row>
    <row r="4015" spans="1:10" ht="15.75" hidden="1" thickBot="1" x14ac:dyDescent="0.3">
      <c r="A4015" s="222"/>
      <c r="B4015" s="225"/>
      <c r="C4015" s="32"/>
      <c r="D4015" s="32"/>
      <c r="E4015" s="33"/>
      <c r="F4015" s="43" t="s">
        <v>572</v>
      </c>
      <c r="G4015" s="31" t="str">
        <f t="shared" si="68"/>
        <v/>
      </c>
      <c r="H4015" s="35"/>
      <c r="I4015" s="31"/>
      <c r="J4015" s="156">
        <v>0</v>
      </c>
    </row>
    <row r="4016" spans="1:10" ht="15.75" hidden="1" thickBot="1" x14ac:dyDescent="0.3">
      <c r="A4016" s="222"/>
      <c r="B4016" s="225"/>
      <c r="C4016" s="36" t="s">
        <v>3623</v>
      </c>
      <c r="D4016" s="36" t="s">
        <v>42</v>
      </c>
      <c r="E4016" s="37">
        <v>8.6199999999999992</v>
      </c>
      <c r="F4016" s="34">
        <v>1.3109999999999999</v>
      </c>
      <c r="G4016" s="34">
        <f t="shared" si="68"/>
        <v>11.300819999999998</v>
      </c>
      <c r="H4016" s="39">
        <f>SUM(G4016:G4020)</f>
        <v>43.224525</v>
      </c>
      <c r="I4016" s="40"/>
      <c r="J4016" s="156">
        <v>0</v>
      </c>
    </row>
    <row r="4017" spans="1:10" ht="15.75" hidden="1" thickBot="1" x14ac:dyDescent="0.3">
      <c r="A4017" s="222"/>
      <c r="B4017" s="225"/>
      <c r="C4017" s="36" t="s">
        <v>54</v>
      </c>
      <c r="D4017" s="36" t="s">
        <v>12</v>
      </c>
      <c r="E4017" s="37">
        <v>1.1879999999999999</v>
      </c>
      <c r="F4017" s="31">
        <v>18.420500000000001</v>
      </c>
      <c r="G4017" s="34">
        <f t="shared" si="68"/>
        <v>21.883554</v>
      </c>
      <c r="H4017" s="35"/>
      <c r="I4017" s="31"/>
      <c r="J4017" s="156">
        <v>0</v>
      </c>
    </row>
    <row r="4018" spans="1:10" ht="15.75" hidden="1" thickBot="1" x14ac:dyDescent="0.3">
      <c r="A4018" s="222"/>
      <c r="B4018" s="225"/>
      <c r="C4018" s="36" t="s">
        <v>23</v>
      </c>
      <c r="D4018" s="36" t="s">
        <v>12</v>
      </c>
      <c r="E4018" s="37">
        <v>0.59399999999999997</v>
      </c>
      <c r="F4018" s="31">
        <v>16.311500000000002</v>
      </c>
      <c r="G4018" s="34">
        <f t="shared" si="68"/>
        <v>9.6890310000000017</v>
      </c>
      <c r="H4018" s="35"/>
      <c r="I4018" s="31"/>
      <c r="J4018" s="156">
        <v>0</v>
      </c>
    </row>
    <row r="4019" spans="1:10" ht="15.75" hidden="1" thickBot="1" x14ac:dyDescent="0.3">
      <c r="A4019" s="222"/>
      <c r="B4019" s="225"/>
      <c r="C4019" s="36" t="s">
        <v>3622</v>
      </c>
      <c r="D4019" s="36" t="s">
        <v>42</v>
      </c>
      <c r="E4019" s="37">
        <v>0.14000000000000001</v>
      </c>
      <c r="F4019" s="34">
        <v>2.508</v>
      </c>
      <c r="G4019" s="34">
        <f t="shared" si="68"/>
        <v>0.35112000000000004</v>
      </c>
      <c r="H4019" s="35"/>
      <c r="I4019" s="31"/>
      <c r="J4019" s="156">
        <v>0</v>
      </c>
    </row>
    <row r="4020" spans="1:10" ht="15.75" hidden="1" thickBot="1" x14ac:dyDescent="0.3">
      <c r="A4020" s="222"/>
      <c r="B4020" s="225"/>
      <c r="C4020" s="36" t="s">
        <v>1296</v>
      </c>
      <c r="D4020" s="36" t="s">
        <v>96</v>
      </c>
      <c r="E4020" s="37">
        <v>1.1599999999999999</v>
      </c>
      <c r="F4020" s="34" t="s">
        <v>572</v>
      </c>
      <c r="G4020" s="54" t="str">
        <f t="shared" si="68"/>
        <v/>
      </c>
      <c r="H4020" s="35"/>
      <c r="I4020" s="31"/>
      <c r="J4020" s="156">
        <v>0</v>
      </c>
    </row>
    <row r="4021" spans="1:10" ht="15.75" hidden="1" thickBot="1" x14ac:dyDescent="0.3">
      <c r="A4021" s="223"/>
      <c r="B4021" s="226"/>
      <c r="C4021" s="36"/>
      <c r="D4021" s="36"/>
      <c r="E4021" s="37"/>
      <c r="F4021" s="31" t="s">
        <v>572</v>
      </c>
      <c r="G4021" s="31" t="str">
        <f t="shared" si="68"/>
        <v/>
      </c>
      <c r="H4021" s="35"/>
      <c r="I4021" s="31"/>
      <c r="J4021" s="156">
        <v>0</v>
      </c>
    </row>
    <row r="4022" spans="1:10" ht="15.75" hidden="1" thickBot="1" x14ac:dyDescent="0.3">
      <c r="A4022" s="221" t="s">
        <v>1297</v>
      </c>
      <c r="B4022" s="224" t="str">
        <f>INDEX(Orçamentária!A:B,MATCH(Composições!A4022,Orçamentária!A:A,0),2)</f>
        <v>Porcelanato para revestimento de superfícies internas e externas - Linha Residencial</v>
      </c>
      <c r="C4022" s="41"/>
      <c r="D4022" s="26" t="str">
        <f>TRIM(INDEX(Orçamentária!C:C,MATCH(Composições!A4022,Orçamentária!A:A,0),1))</f>
        <v>m2</v>
      </c>
      <c r="E4022" s="27"/>
      <c r="F4022" s="49" t="s">
        <v>572</v>
      </c>
      <c r="G4022" s="28" t="str">
        <f t="shared" si="68"/>
        <v/>
      </c>
      <c r="H4022" s="29"/>
      <c r="I4022" s="30"/>
      <c r="J4022" s="156">
        <v>0</v>
      </c>
    </row>
    <row r="4023" spans="1:10" ht="15.75" hidden="1" thickBot="1" x14ac:dyDescent="0.3">
      <c r="A4023" s="227"/>
      <c r="B4023" s="225"/>
      <c r="C4023" s="32"/>
      <c r="D4023" s="32"/>
      <c r="E4023" s="33"/>
      <c r="F4023" s="54" t="s">
        <v>572</v>
      </c>
      <c r="G4023" s="54" t="str">
        <f t="shared" si="68"/>
        <v/>
      </c>
      <c r="H4023" s="73"/>
      <c r="I4023" s="74"/>
      <c r="J4023" s="156">
        <v>0</v>
      </c>
    </row>
    <row r="4024" spans="1:10" ht="26.25" hidden="1" thickBot="1" x14ac:dyDescent="0.3">
      <c r="A4024" s="227"/>
      <c r="B4024" s="225"/>
      <c r="C4024" s="36" t="s">
        <v>1298</v>
      </c>
      <c r="D4024" s="36" t="s">
        <v>1053</v>
      </c>
      <c r="E4024" s="37">
        <v>1.07</v>
      </c>
      <c r="F4024" s="54">
        <v>58.358499999999999</v>
      </c>
      <c r="G4024" s="54">
        <f t="shared" si="68"/>
        <v>62.443595000000002</v>
      </c>
      <c r="H4024" s="39">
        <f>SUM(G4024:G4028)</f>
        <v>91.851224999999999</v>
      </c>
      <c r="I4024" s="40"/>
      <c r="J4024" s="156">
        <v>0</v>
      </c>
    </row>
    <row r="4025" spans="1:10" ht="15.75" hidden="1" thickBot="1" x14ac:dyDescent="0.3">
      <c r="A4025" s="227"/>
      <c r="B4025" s="225"/>
      <c r="C4025" s="36" t="s">
        <v>3622</v>
      </c>
      <c r="D4025" s="36" t="s">
        <v>957</v>
      </c>
      <c r="E4025" s="37">
        <v>0.24</v>
      </c>
      <c r="F4025" s="54">
        <v>2.508</v>
      </c>
      <c r="G4025" s="54">
        <f t="shared" si="68"/>
        <v>0.60192000000000001</v>
      </c>
      <c r="H4025" s="73"/>
      <c r="I4025" s="74"/>
      <c r="J4025" s="156">
        <v>0</v>
      </c>
    </row>
    <row r="4026" spans="1:10" ht="15.75" hidden="1" thickBot="1" x14ac:dyDescent="0.3">
      <c r="A4026" s="227"/>
      <c r="B4026" s="225"/>
      <c r="C4026" s="36" t="s">
        <v>3623</v>
      </c>
      <c r="D4026" s="36" t="s">
        <v>957</v>
      </c>
      <c r="E4026" s="37">
        <v>8.6199999999999992</v>
      </c>
      <c r="F4026" s="54">
        <v>1.3109999999999999</v>
      </c>
      <c r="G4026" s="54">
        <f t="shared" si="68"/>
        <v>11.300819999999998</v>
      </c>
      <c r="H4026" s="73"/>
      <c r="I4026" s="74"/>
      <c r="J4026" s="156">
        <v>0</v>
      </c>
    </row>
    <row r="4027" spans="1:10" ht="15.75" hidden="1" thickBot="1" x14ac:dyDescent="0.3">
      <c r="A4027" s="227"/>
      <c r="B4027" s="225"/>
      <c r="C4027" s="36" t="s">
        <v>1299</v>
      </c>
      <c r="D4027" s="36" t="s">
        <v>759</v>
      </c>
      <c r="E4027" s="37">
        <v>0.61</v>
      </c>
      <c r="F4027" s="54">
        <v>22.011500000000002</v>
      </c>
      <c r="G4027" s="54">
        <f t="shared" si="68"/>
        <v>13.427015000000001</v>
      </c>
      <c r="H4027" s="73"/>
      <c r="I4027" s="74"/>
      <c r="J4027" s="156">
        <v>0</v>
      </c>
    </row>
    <row r="4028" spans="1:10" ht="15.75" hidden="1" thickBot="1" x14ac:dyDescent="0.3">
      <c r="A4028" s="227"/>
      <c r="B4028" s="225"/>
      <c r="C4028" s="36" t="s">
        <v>760</v>
      </c>
      <c r="D4028" s="36" t="s">
        <v>759</v>
      </c>
      <c r="E4028" s="37">
        <v>0.25</v>
      </c>
      <c r="F4028" s="54">
        <v>16.311500000000002</v>
      </c>
      <c r="G4028" s="54">
        <f t="shared" si="68"/>
        <v>4.0778750000000006</v>
      </c>
      <c r="H4028" s="73"/>
      <c r="I4028" s="74"/>
      <c r="J4028" s="156">
        <v>0</v>
      </c>
    </row>
    <row r="4029" spans="1:10" ht="15.75" hidden="1" thickBot="1" x14ac:dyDescent="0.3">
      <c r="A4029" s="227"/>
      <c r="B4029" s="225"/>
      <c r="C4029" s="36"/>
      <c r="D4029" s="47"/>
      <c r="E4029" s="37"/>
      <c r="F4029" s="54" t="s">
        <v>572</v>
      </c>
      <c r="G4029" s="54" t="str">
        <f t="shared" si="68"/>
        <v/>
      </c>
      <c r="H4029" s="73"/>
      <c r="I4029" s="74"/>
      <c r="J4029" s="156">
        <v>0</v>
      </c>
    </row>
    <row r="4030" spans="1:10" ht="15.75" hidden="1" thickBot="1" x14ac:dyDescent="0.3">
      <c r="A4030" s="221" t="s">
        <v>1300</v>
      </c>
      <c r="B4030" s="224" t="str">
        <f>INDEX(Orçamentária!A:B,MATCH(Composições!A4030,Orçamentária!A:A,0),2)</f>
        <v>Granitina para revestimento de pisos</v>
      </c>
      <c r="C4030" s="41"/>
      <c r="D4030" s="26" t="str">
        <f>TRIM(INDEX(Orçamentária!C:C,MATCH(Composições!A4030,Orçamentária!A:A,0),1))</f>
        <v>m2</v>
      </c>
      <c r="E4030" s="27"/>
      <c r="F4030" s="49" t="s">
        <v>572</v>
      </c>
      <c r="G4030" s="28" t="str">
        <f t="shared" si="68"/>
        <v/>
      </c>
      <c r="H4030" s="29"/>
      <c r="I4030" s="30"/>
      <c r="J4030" s="156">
        <v>0</v>
      </c>
    </row>
    <row r="4031" spans="1:10" ht="15.75" hidden="1" thickBot="1" x14ac:dyDescent="0.3">
      <c r="A4031" s="227"/>
      <c r="B4031" s="225"/>
      <c r="C4031" s="32"/>
      <c r="D4031" s="32"/>
      <c r="E4031" s="33"/>
      <c r="F4031" s="54" t="s">
        <v>572</v>
      </c>
      <c r="G4031" s="54" t="str">
        <f t="shared" si="68"/>
        <v/>
      </c>
      <c r="H4031" s="73"/>
      <c r="I4031" s="74"/>
      <c r="J4031" s="156">
        <v>0</v>
      </c>
    </row>
    <row r="4032" spans="1:10" ht="26.25" hidden="1" thickBot="1" x14ac:dyDescent="0.3">
      <c r="A4032" s="227"/>
      <c r="B4032" s="225"/>
      <c r="C4032" s="36" t="s">
        <v>1301</v>
      </c>
      <c r="D4032" s="36" t="s">
        <v>527</v>
      </c>
      <c r="E4032" s="37">
        <v>1.67</v>
      </c>
      <c r="F4032" s="54">
        <v>1.026</v>
      </c>
      <c r="G4032" s="54">
        <f t="shared" si="68"/>
        <v>1.7134199999999999</v>
      </c>
      <c r="H4032" s="39">
        <f>SUM(G4032:G4038)</f>
        <v>36.249486467477404</v>
      </c>
      <c r="I4032" s="40"/>
      <c r="J4032" s="156">
        <v>0</v>
      </c>
    </row>
    <row r="4033" spans="1:10" ht="26.25" hidden="1" thickBot="1" x14ac:dyDescent="0.3">
      <c r="A4033" s="227"/>
      <c r="B4033" s="225"/>
      <c r="C4033" s="36" t="s">
        <v>3461</v>
      </c>
      <c r="D4033" s="36" t="s">
        <v>957</v>
      </c>
      <c r="E4033" s="37">
        <v>23.24</v>
      </c>
      <c r="F4033" s="54">
        <v>0.36099999999999999</v>
      </c>
      <c r="G4033" s="54">
        <f t="shared" si="68"/>
        <v>8.38964</v>
      </c>
      <c r="H4033" s="73"/>
      <c r="I4033" s="74"/>
      <c r="J4033" s="156">
        <v>0</v>
      </c>
    </row>
    <row r="4034" spans="1:10" ht="39" hidden="1" thickBot="1" x14ac:dyDescent="0.3">
      <c r="A4034" s="227"/>
      <c r="B4034" s="225"/>
      <c r="C4034" s="36" t="s">
        <v>3431</v>
      </c>
      <c r="D4034" s="36" t="s">
        <v>124</v>
      </c>
      <c r="E4034" s="37">
        <v>1.66E-2</v>
      </c>
      <c r="F4034" s="54">
        <v>544.57801008900003</v>
      </c>
      <c r="G4034" s="54">
        <f t="shared" si="68"/>
        <v>9.0399949674774014</v>
      </c>
      <c r="H4034" s="73"/>
      <c r="I4034" s="74"/>
      <c r="J4034" s="156">
        <v>0</v>
      </c>
    </row>
    <row r="4035" spans="1:10" ht="15.75" hidden="1" thickBot="1" x14ac:dyDescent="0.3">
      <c r="A4035" s="227"/>
      <c r="B4035" s="225"/>
      <c r="C4035" s="36" t="s">
        <v>768</v>
      </c>
      <c r="D4035" s="36" t="s">
        <v>759</v>
      </c>
      <c r="E4035" s="37">
        <v>0.55100000000000005</v>
      </c>
      <c r="F4035" s="54">
        <v>22.087499999999999</v>
      </c>
      <c r="G4035" s="54">
        <f t="shared" si="68"/>
        <v>12.1702125</v>
      </c>
      <c r="H4035" s="73"/>
      <c r="I4035" s="74"/>
      <c r="J4035" s="156">
        <v>0</v>
      </c>
    </row>
    <row r="4036" spans="1:10" ht="15.75" hidden="1" thickBot="1" x14ac:dyDescent="0.3">
      <c r="A4036" s="227"/>
      <c r="B4036" s="225"/>
      <c r="C4036" s="36" t="s">
        <v>760</v>
      </c>
      <c r="D4036" s="36" t="s">
        <v>759</v>
      </c>
      <c r="E4036" s="37">
        <v>0.27500000000000002</v>
      </c>
      <c r="F4036" s="54">
        <v>16.311500000000002</v>
      </c>
      <c r="G4036" s="54">
        <f t="shared" si="68"/>
        <v>4.485662500000001</v>
      </c>
      <c r="H4036" s="73"/>
      <c r="I4036" s="74"/>
      <c r="J4036" s="156">
        <v>0</v>
      </c>
    </row>
    <row r="4037" spans="1:10" ht="26.25" hidden="1" thickBot="1" x14ac:dyDescent="0.3">
      <c r="A4037" s="227"/>
      <c r="B4037" s="225"/>
      <c r="C4037" s="36" t="s">
        <v>1180</v>
      </c>
      <c r="D4037" s="36" t="s">
        <v>1001</v>
      </c>
      <c r="E4037" s="37">
        <v>0.123</v>
      </c>
      <c r="F4037" s="54">
        <v>2.1755</v>
      </c>
      <c r="G4037" s="54">
        <f t="shared" si="68"/>
        <v>0.2675865</v>
      </c>
      <c r="H4037" s="73"/>
      <c r="I4037" s="74"/>
      <c r="J4037" s="156">
        <v>0</v>
      </c>
    </row>
    <row r="4038" spans="1:10" ht="26.25" hidden="1" thickBot="1" x14ac:dyDescent="0.3">
      <c r="A4038" s="227"/>
      <c r="B4038" s="225"/>
      <c r="C4038" s="36" t="s">
        <v>1181</v>
      </c>
      <c r="D4038" s="36" t="s">
        <v>1003</v>
      </c>
      <c r="E4038" s="37">
        <v>0.42799999999999999</v>
      </c>
      <c r="F4038" s="54">
        <v>0.42749999999999999</v>
      </c>
      <c r="G4038" s="54">
        <f t="shared" si="68"/>
        <v>0.18296999999999999</v>
      </c>
      <c r="H4038" s="73"/>
      <c r="I4038" s="74"/>
      <c r="J4038" s="156">
        <v>0</v>
      </c>
    </row>
    <row r="4039" spans="1:10" ht="15.75" hidden="1" thickBot="1" x14ac:dyDescent="0.3">
      <c r="A4039" s="227"/>
      <c r="B4039" s="225"/>
      <c r="C4039" s="36"/>
      <c r="D4039" s="47"/>
      <c r="E4039" s="37"/>
      <c r="F4039" s="54" t="s">
        <v>572</v>
      </c>
      <c r="G4039" s="54" t="str">
        <f t="shared" si="68"/>
        <v/>
      </c>
      <c r="H4039" s="73"/>
      <c r="I4039" s="74"/>
      <c r="J4039" s="156">
        <v>0</v>
      </c>
    </row>
    <row r="4040" spans="1:10" ht="15.75" hidden="1" thickBot="1" x14ac:dyDescent="0.3">
      <c r="A4040" s="221" t="s">
        <v>1302</v>
      </c>
      <c r="B4040" s="224" t="str">
        <f>INDEX(Orçamentária!A:B,MATCH(Composições!A4040,Orçamentária!A:A,0),2)</f>
        <v>Piso vinílico flexível em manta</v>
      </c>
      <c r="C4040" s="41"/>
      <c r="D4040" s="26" t="str">
        <f>TRIM(INDEX(Orçamentária!C:C,MATCH(Composições!A4040,Orçamentária!A:A,0),1))</f>
        <v>m2</v>
      </c>
      <c r="E4040" s="27"/>
      <c r="F4040" s="49" t="s">
        <v>572</v>
      </c>
      <c r="G4040" s="28" t="str">
        <f t="shared" si="68"/>
        <v/>
      </c>
      <c r="H4040" s="29"/>
      <c r="I4040" s="30"/>
      <c r="J4040" s="156">
        <v>0</v>
      </c>
    </row>
    <row r="4041" spans="1:10" ht="15.75" hidden="1" thickBot="1" x14ac:dyDescent="0.3">
      <c r="A4041" s="227"/>
      <c r="B4041" s="225"/>
      <c r="C4041" s="32"/>
      <c r="D4041" s="32"/>
      <c r="E4041" s="33"/>
      <c r="F4041" s="54" t="s">
        <v>572</v>
      </c>
      <c r="G4041" s="54" t="str">
        <f t="shared" si="68"/>
        <v/>
      </c>
      <c r="H4041" s="73"/>
      <c r="I4041" s="74"/>
      <c r="J4041" s="156">
        <v>0</v>
      </c>
    </row>
    <row r="4042" spans="1:10" ht="15.75" hidden="1" thickBot="1" x14ac:dyDescent="0.3">
      <c r="A4042" s="227"/>
      <c r="B4042" s="225"/>
      <c r="C4042" s="36" t="s">
        <v>1303</v>
      </c>
      <c r="D4042" s="47" t="s">
        <v>96</v>
      </c>
      <c r="E4042" s="37">
        <v>1.05</v>
      </c>
      <c r="F4042" s="54" t="s">
        <v>572</v>
      </c>
      <c r="G4042" s="54" t="str">
        <f t="shared" si="68"/>
        <v/>
      </c>
      <c r="H4042" s="39">
        <f>SUM(G4042:G4045)</f>
        <v>14.677499999999998</v>
      </c>
      <c r="I4042" s="40"/>
      <c r="J4042" s="156">
        <v>0</v>
      </c>
    </row>
    <row r="4043" spans="1:10" ht="15.75" hidden="1" thickBot="1" x14ac:dyDescent="0.3">
      <c r="A4043" s="227"/>
      <c r="B4043" s="225"/>
      <c r="C4043" s="36" t="s">
        <v>305</v>
      </c>
      <c r="D4043" s="47" t="s">
        <v>42</v>
      </c>
      <c r="E4043" s="37">
        <v>0.35</v>
      </c>
      <c r="F4043" s="54">
        <v>25.478999999999999</v>
      </c>
      <c r="G4043" s="54">
        <f t="shared" si="68"/>
        <v>8.9176499999999983</v>
      </c>
      <c r="H4043" s="73"/>
      <c r="I4043" s="74"/>
      <c r="J4043" s="156">
        <v>0</v>
      </c>
    </row>
    <row r="4044" spans="1:10" ht="15.75" hidden="1" thickBot="1" x14ac:dyDescent="0.3">
      <c r="A4044" s="227"/>
      <c r="B4044" s="225"/>
      <c r="C4044" s="36" t="s">
        <v>22</v>
      </c>
      <c r="D4044" s="36" t="s">
        <v>12</v>
      </c>
      <c r="E4044" s="37">
        <v>0.15</v>
      </c>
      <c r="F4044" s="54">
        <v>22.087499999999999</v>
      </c>
      <c r="G4044" s="54">
        <f t="shared" si="68"/>
        <v>3.3131249999999999</v>
      </c>
      <c r="H4044" s="73"/>
      <c r="I4044" s="74"/>
      <c r="J4044" s="156">
        <v>0</v>
      </c>
    </row>
    <row r="4045" spans="1:10" ht="15.75" hidden="1" thickBot="1" x14ac:dyDescent="0.3">
      <c r="A4045" s="227"/>
      <c r="B4045" s="225"/>
      <c r="C4045" s="36" t="s">
        <v>23</v>
      </c>
      <c r="D4045" s="36" t="s">
        <v>12</v>
      </c>
      <c r="E4045" s="37">
        <v>0.15</v>
      </c>
      <c r="F4045" s="54">
        <v>16.311500000000002</v>
      </c>
      <c r="G4045" s="54">
        <f t="shared" si="68"/>
        <v>2.4467250000000003</v>
      </c>
      <c r="H4045" s="73"/>
      <c r="I4045" s="74"/>
      <c r="J4045" s="156">
        <v>0</v>
      </c>
    </row>
    <row r="4046" spans="1:10" ht="15.75" hidden="1" thickBot="1" x14ac:dyDescent="0.3">
      <c r="A4046" s="227"/>
      <c r="B4046" s="225"/>
      <c r="C4046" s="55"/>
      <c r="D4046" s="55"/>
      <c r="E4046" s="66"/>
      <c r="F4046" s="76" t="s">
        <v>572</v>
      </c>
      <c r="G4046" s="76" t="str">
        <f t="shared" si="68"/>
        <v/>
      </c>
      <c r="H4046" s="77"/>
      <c r="I4046" s="74"/>
      <c r="J4046" s="156">
        <v>0</v>
      </c>
    </row>
    <row r="4047" spans="1:10" ht="15.75" hidden="1" thickBot="1" x14ac:dyDescent="0.3">
      <c r="A4047" s="221" t="s">
        <v>1304</v>
      </c>
      <c r="B4047" s="224" t="str">
        <f>INDEX(Orçamentária!A:B,MATCH(Composições!A4047,Orçamentária!A:A,0),2)</f>
        <v>Tratamento de juntas de dilatação ou movimentação</v>
      </c>
      <c r="C4047" s="41"/>
      <c r="D4047" s="26" t="str">
        <f>TRIM(INDEX(Orçamentária!C:C,MATCH(Composições!A4047,Orçamentária!A:A,0),1))</f>
        <v>m</v>
      </c>
      <c r="E4047" s="27"/>
      <c r="F4047" s="49" t="s">
        <v>572</v>
      </c>
      <c r="G4047" s="28" t="str">
        <f t="shared" si="68"/>
        <v/>
      </c>
      <c r="H4047" s="29"/>
      <c r="I4047" s="30"/>
      <c r="J4047" s="156">
        <v>0</v>
      </c>
    </row>
    <row r="4048" spans="1:10" ht="15.75" hidden="1" thickBot="1" x14ac:dyDescent="0.3">
      <c r="A4048" s="227"/>
      <c r="B4048" s="225"/>
      <c r="C4048" s="32"/>
      <c r="D4048" s="32"/>
      <c r="E4048" s="33"/>
      <c r="F4048" s="54" t="s">
        <v>572</v>
      </c>
      <c r="G4048" s="54" t="str">
        <f t="shared" si="68"/>
        <v/>
      </c>
      <c r="H4048" s="73"/>
      <c r="I4048" s="74"/>
      <c r="J4048" s="156">
        <v>0</v>
      </c>
    </row>
    <row r="4049" spans="1:10" ht="15.75" hidden="1" thickBot="1" x14ac:dyDescent="0.3">
      <c r="A4049" s="227"/>
      <c r="B4049" s="225"/>
      <c r="C4049" s="36" t="s">
        <v>22</v>
      </c>
      <c r="D4049" s="36" t="s">
        <v>12</v>
      </c>
      <c r="E4049" s="37">
        <v>0.35</v>
      </c>
      <c r="F4049" s="54">
        <v>22.087499999999999</v>
      </c>
      <c r="G4049" s="54">
        <f t="shared" si="68"/>
        <v>7.730624999999999</v>
      </c>
      <c r="H4049" s="39">
        <f>SUM(G4049:G4053)</f>
        <v>52.225110000000001</v>
      </c>
      <c r="I4049" s="40"/>
      <c r="J4049" s="156">
        <v>0</v>
      </c>
    </row>
    <row r="4050" spans="1:10" ht="15.75" hidden="1" thickBot="1" x14ac:dyDescent="0.3">
      <c r="A4050" s="227"/>
      <c r="B4050" s="225"/>
      <c r="C4050" s="36" t="s">
        <v>23</v>
      </c>
      <c r="D4050" s="36" t="s">
        <v>12</v>
      </c>
      <c r="E4050" s="37">
        <v>0.35</v>
      </c>
      <c r="F4050" s="54">
        <v>16.311500000000002</v>
      </c>
      <c r="G4050" s="54">
        <f t="shared" ref="G4050:G4113" si="69">IF(ISNUMBER(F4050),E4050*F4050,"")</f>
        <v>5.7090250000000005</v>
      </c>
      <c r="H4050" s="73"/>
      <c r="I4050" s="74"/>
      <c r="J4050" s="156">
        <v>0</v>
      </c>
    </row>
    <row r="4051" spans="1:10" ht="26.25" hidden="1" thickBot="1" x14ac:dyDescent="0.3">
      <c r="A4051" s="227"/>
      <c r="B4051" s="225"/>
      <c r="C4051" s="36" t="s">
        <v>1305</v>
      </c>
      <c r="D4051" s="36" t="s">
        <v>105</v>
      </c>
      <c r="E4051" s="37">
        <v>0.2</v>
      </c>
      <c r="F4051" s="54">
        <v>127.27149999999999</v>
      </c>
      <c r="G4051" s="54">
        <f t="shared" si="69"/>
        <v>25.4543</v>
      </c>
      <c r="H4051" s="73"/>
      <c r="I4051" s="74"/>
      <c r="J4051" s="156">
        <v>0</v>
      </c>
    </row>
    <row r="4052" spans="1:10" ht="15.75" hidden="1" thickBot="1" x14ac:dyDescent="0.3">
      <c r="A4052" s="227"/>
      <c r="B4052" s="225"/>
      <c r="C4052" s="36" t="s">
        <v>1123</v>
      </c>
      <c r="D4052" s="36" t="s">
        <v>94</v>
      </c>
      <c r="E4052" s="37">
        <v>1</v>
      </c>
      <c r="F4052" s="54">
        <v>0</v>
      </c>
      <c r="G4052" s="54">
        <f t="shared" si="69"/>
        <v>0</v>
      </c>
      <c r="H4052" s="73"/>
      <c r="I4052" s="74"/>
      <c r="J4052" s="156">
        <v>0</v>
      </c>
    </row>
    <row r="4053" spans="1:10" ht="26.25" hidden="1" thickBot="1" x14ac:dyDescent="0.3">
      <c r="A4053" s="227"/>
      <c r="B4053" s="225"/>
      <c r="C4053" s="36" t="s">
        <v>833</v>
      </c>
      <c r="D4053" s="36" t="s">
        <v>42</v>
      </c>
      <c r="E4053" s="37">
        <f>1.8*1*(0.01+0.01)*10</f>
        <v>0.36000000000000004</v>
      </c>
      <c r="F4053" s="54">
        <v>37.030999999999999</v>
      </c>
      <c r="G4053" s="54">
        <f t="shared" si="69"/>
        <v>13.331160000000001</v>
      </c>
      <c r="H4053" s="73"/>
      <c r="I4053" s="74"/>
      <c r="J4053" s="156">
        <v>0</v>
      </c>
    </row>
    <row r="4054" spans="1:10" ht="15.75" hidden="1" thickBot="1" x14ac:dyDescent="0.3">
      <c r="A4054" s="227"/>
      <c r="B4054" s="225"/>
      <c r="C4054" s="36"/>
      <c r="D4054" s="36"/>
      <c r="E4054" s="37"/>
      <c r="F4054" s="54"/>
      <c r="G4054" s="54"/>
      <c r="H4054" s="73"/>
      <c r="I4054" s="74"/>
      <c r="J4054" s="156">
        <v>0</v>
      </c>
    </row>
    <row r="4055" spans="1:10" ht="15.75" hidden="1" thickBot="1" x14ac:dyDescent="0.3">
      <c r="A4055" s="227"/>
      <c r="B4055" s="225"/>
      <c r="C4055" s="48" t="s">
        <v>3633</v>
      </c>
      <c r="D4055" s="36"/>
      <c r="E4055" s="37"/>
      <c r="F4055" s="54"/>
      <c r="G4055" s="54"/>
      <c r="H4055" s="73"/>
      <c r="I4055" s="74"/>
      <c r="J4055" s="156">
        <v>0</v>
      </c>
    </row>
    <row r="4056" spans="1:10" ht="15.75" hidden="1" thickBot="1" x14ac:dyDescent="0.3">
      <c r="A4056" s="227"/>
      <c r="B4056" s="225"/>
      <c r="C4056" s="48" t="s">
        <v>3634</v>
      </c>
      <c r="D4056" s="36"/>
      <c r="E4056" s="37"/>
      <c r="F4056" s="54"/>
      <c r="G4056" s="54"/>
      <c r="H4056" s="73"/>
      <c r="I4056" s="74"/>
      <c r="J4056" s="156">
        <v>0</v>
      </c>
    </row>
    <row r="4057" spans="1:10" ht="15.75" hidden="1" thickBot="1" x14ac:dyDescent="0.3">
      <c r="A4057" s="228"/>
      <c r="B4057" s="226"/>
      <c r="C4057" s="55"/>
      <c r="D4057" s="55"/>
      <c r="E4057" s="66"/>
      <c r="F4057" s="76" t="s">
        <v>572</v>
      </c>
      <c r="G4057" s="76" t="str">
        <f t="shared" ref="G4057:G4120" si="70">IF(ISNUMBER(F4057),E4057*F4057,"")</f>
        <v/>
      </c>
      <c r="H4057" s="77"/>
      <c r="I4057" s="74"/>
      <c r="J4057" s="156">
        <v>0</v>
      </c>
    </row>
    <row r="4058" spans="1:10" ht="15.75" hidden="1" thickBot="1" x14ac:dyDescent="0.3">
      <c r="A4058" s="221" t="s">
        <v>1306</v>
      </c>
      <c r="B4058" s="224" t="str">
        <f>INDEX(Orçamentária!A:B,MATCH(Composições!A4058,Orçamentária!A:A,0),2)</f>
        <v>Recuperação superficial de preparação para pintura epóxi de alto desempenho</v>
      </c>
      <c r="C4058" s="41"/>
      <c r="D4058" s="26" t="str">
        <f>TRIM(INDEX(Orçamentária!C:C,MATCH(Composições!A4058,Orçamentária!A:A,0),1))</f>
        <v>m2</v>
      </c>
      <c r="E4058" s="27"/>
      <c r="F4058" s="49" t="s">
        <v>572</v>
      </c>
      <c r="G4058" s="28" t="str">
        <f t="shared" si="70"/>
        <v/>
      </c>
      <c r="H4058" s="29"/>
      <c r="I4058" s="30"/>
      <c r="J4058" s="156">
        <v>0</v>
      </c>
    </row>
    <row r="4059" spans="1:10" ht="15.75" hidden="1" thickBot="1" x14ac:dyDescent="0.3">
      <c r="A4059" s="227"/>
      <c r="B4059" s="225"/>
      <c r="C4059" s="32"/>
      <c r="D4059" s="32"/>
      <c r="E4059" s="33"/>
      <c r="F4059" s="54" t="s">
        <v>572</v>
      </c>
      <c r="G4059" s="54" t="str">
        <f t="shared" si="70"/>
        <v/>
      </c>
      <c r="H4059" s="73"/>
      <c r="I4059" s="74"/>
      <c r="J4059" s="156">
        <v>0</v>
      </c>
    </row>
    <row r="4060" spans="1:10" ht="15.75" hidden="1" thickBot="1" x14ac:dyDescent="0.3">
      <c r="A4060" s="227"/>
      <c r="B4060" s="225"/>
      <c r="C4060" s="36" t="s">
        <v>22</v>
      </c>
      <c r="D4060" s="36" t="s">
        <v>12</v>
      </c>
      <c r="E4060" s="37">
        <v>0.3</v>
      </c>
      <c r="F4060" s="54">
        <v>22.087499999999999</v>
      </c>
      <c r="G4060" s="54">
        <f t="shared" si="70"/>
        <v>6.6262499999999998</v>
      </c>
      <c r="H4060" s="39">
        <f>SUM(G4060:G4065)</f>
        <v>15.597575000000003</v>
      </c>
      <c r="I4060" s="40"/>
      <c r="J4060" s="156">
        <v>0</v>
      </c>
    </row>
    <row r="4061" spans="1:10" ht="15.75" hidden="1" thickBot="1" x14ac:dyDescent="0.3">
      <c r="A4061" s="227"/>
      <c r="B4061" s="225"/>
      <c r="C4061" s="36" t="s">
        <v>23</v>
      </c>
      <c r="D4061" s="36" t="s">
        <v>12</v>
      </c>
      <c r="E4061" s="37">
        <f>0.3+0.25</f>
        <v>0.55000000000000004</v>
      </c>
      <c r="F4061" s="54">
        <v>16.311500000000002</v>
      </c>
      <c r="G4061" s="54">
        <f t="shared" si="70"/>
        <v>8.971325000000002</v>
      </c>
      <c r="H4061" s="73"/>
      <c r="I4061" s="74"/>
      <c r="J4061" s="156">
        <v>0</v>
      </c>
    </row>
    <row r="4062" spans="1:10" ht="15.75" hidden="1" thickBot="1" x14ac:dyDescent="0.3">
      <c r="A4062" s="227"/>
      <c r="B4062" s="225"/>
      <c r="C4062" s="36" t="s">
        <v>3627</v>
      </c>
      <c r="D4062" s="36" t="s">
        <v>42</v>
      </c>
      <c r="E4062" s="37">
        <v>5</v>
      </c>
      <c r="F4062" s="54" t="s">
        <v>572</v>
      </c>
      <c r="G4062" s="54" t="str">
        <f t="shared" si="70"/>
        <v/>
      </c>
      <c r="H4062" s="73"/>
      <c r="I4062" s="74"/>
      <c r="J4062" s="156">
        <v>0</v>
      </c>
    </row>
    <row r="4063" spans="1:10" ht="15.75" hidden="1" thickBot="1" x14ac:dyDescent="0.3">
      <c r="A4063" s="227"/>
      <c r="B4063" s="225"/>
      <c r="C4063" s="36" t="s">
        <v>3628</v>
      </c>
      <c r="D4063" s="36" t="s">
        <v>42</v>
      </c>
      <c r="E4063" s="37">
        <v>0.5</v>
      </c>
      <c r="F4063" s="54" t="s">
        <v>572</v>
      </c>
      <c r="G4063" s="54" t="str">
        <f t="shared" si="70"/>
        <v/>
      </c>
      <c r="H4063" s="73"/>
      <c r="I4063" s="74"/>
      <c r="J4063" s="156">
        <v>0</v>
      </c>
    </row>
    <row r="4064" spans="1:10" ht="15.75" hidden="1" thickBot="1" x14ac:dyDescent="0.3">
      <c r="A4064" s="227"/>
      <c r="B4064" s="225"/>
      <c r="C4064" s="36" t="s">
        <v>3629</v>
      </c>
      <c r="D4064" s="36" t="s">
        <v>42</v>
      </c>
      <c r="E4064" s="37">
        <v>0.1</v>
      </c>
      <c r="F4064" s="54" t="s">
        <v>572</v>
      </c>
      <c r="G4064" s="54" t="str">
        <f t="shared" si="70"/>
        <v/>
      </c>
      <c r="H4064" s="73"/>
      <c r="I4064" s="74"/>
      <c r="J4064" s="156">
        <v>0</v>
      </c>
    </row>
    <row r="4065" spans="1:10" ht="15.75" hidden="1" thickBot="1" x14ac:dyDescent="0.3">
      <c r="A4065" s="227"/>
      <c r="B4065" s="225"/>
      <c r="C4065" s="36" t="s">
        <v>1307</v>
      </c>
      <c r="D4065" s="36" t="s">
        <v>299</v>
      </c>
      <c r="E4065" s="37">
        <v>0.5</v>
      </c>
      <c r="F4065" s="54">
        <v>0</v>
      </c>
      <c r="G4065" s="54">
        <f t="shared" si="70"/>
        <v>0</v>
      </c>
      <c r="H4065" s="73"/>
      <c r="I4065" s="74"/>
      <c r="J4065" s="156">
        <v>0</v>
      </c>
    </row>
    <row r="4066" spans="1:10" ht="15.75" hidden="1" thickBot="1" x14ac:dyDescent="0.3">
      <c r="A4066" s="227"/>
      <c r="B4066" s="225"/>
      <c r="C4066" s="36"/>
      <c r="D4066" s="36"/>
      <c r="E4066" s="37"/>
      <c r="F4066" s="54" t="s">
        <v>572</v>
      </c>
      <c r="G4066" s="54" t="str">
        <f t="shared" si="70"/>
        <v/>
      </c>
      <c r="H4066" s="73"/>
      <c r="I4066" s="74"/>
      <c r="J4066" s="156">
        <v>0</v>
      </c>
    </row>
    <row r="4067" spans="1:10" ht="15.75" hidden="1" thickBot="1" x14ac:dyDescent="0.3">
      <c r="A4067" s="227"/>
      <c r="B4067" s="225"/>
      <c r="C4067" s="48" t="s">
        <v>1308</v>
      </c>
      <c r="D4067" s="36"/>
      <c r="E4067" s="37"/>
      <c r="F4067" s="54" t="s">
        <v>572</v>
      </c>
      <c r="G4067" s="54" t="str">
        <f t="shared" si="70"/>
        <v/>
      </c>
      <c r="H4067" s="73"/>
      <c r="I4067" s="74"/>
      <c r="J4067" s="156">
        <v>0</v>
      </c>
    </row>
    <row r="4068" spans="1:10" ht="15.75" hidden="1" thickBot="1" x14ac:dyDescent="0.3">
      <c r="A4068" s="228"/>
      <c r="B4068" s="226"/>
      <c r="C4068" s="55"/>
      <c r="D4068" s="55"/>
      <c r="E4068" s="66"/>
      <c r="F4068" s="54" t="s">
        <v>572</v>
      </c>
      <c r="G4068" s="54" t="str">
        <f t="shared" si="70"/>
        <v/>
      </c>
      <c r="H4068" s="77"/>
      <c r="I4068" s="74"/>
      <c r="J4068" s="156">
        <v>0</v>
      </c>
    </row>
    <row r="4069" spans="1:10" ht="15.75" hidden="1" thickBot="1" x14ac:dyDescent="0.3">
      <c r="A4069" s="221" t="s">
        <v>1309</v>
      </c>
      <c r="B4069" s="224" t="str">
        <f>INDEX(Orçamentária!A:B,MATCH(Composições!A4069,Orçamentária!A:A,0),2)</f>
        <v>Lixamento, calafetação e aplicação de sinteco em piso de madeira - Linha Residencial</v>
      </c>
      <c r="C4069" s="41"/>
      <c r="D4069" s="26" t="str">
        <f>TRIM(INDEX(Orçamentária!C:C,MATCH(Composições!A4069,Orçamentária!A:A,0),1))</f>
        <v>m2</v>
      </c>
      <c r="E4069" s="27"/>
      <c r="F4069" s="49" t="s">
        <v>572</v>
      </c>
      <c r="G4069" s="28" t="str">
        <f t="shared" si="70"/>
        <v/>
      </c>
      <c r="H4069" s="29"/>
      <c r="I4069" s="30"/>
      <c r="J4069" s="156">
        <v>0</v>
      </c>
    </row>
    <row r="4070" spans="1:10" ht="15.75" hidden="1" thickBot="1" x14ac:dyDescent="0.3">
      <c r="A4070" s="227"/>
      <c r="B4070" s="225"/>
      <c r="C4070" s="32"/>
      <c r="D4070" s="32"/>
      <c r="E4070" s="33"/>
      <c r="F4070" s="54" t="s">
        <v>572</v>
      </c>
      <c r="G4070" s="54" t="str">
        <f t="shared" si="70"/>
        <v/>
      </c>
      <c r="H4070" s="73"/>
      <c r="I4070" s="74"/>
      <c r="J4070" s="156">
        <v>0</v>
      </c>
    </row>
    <row r="4071" spans="1:10" ht="26.25" hidden="1" thickBot="1" x14ac:dyDescent="0.3">
      <c r="A4071" s="227"/>
      <c r="B4071" s="225"/>
      <c r="C4071" s="36" t="s">
        <v>1310</v>
      </c>
      <c r="D4071" s="36" t="s">
        <v>96</v>
      </c>
      <c r="E4071" s="37">
        <v>1</v>
      </c>
      <c r="F4071" s="54">
        <v>0</v>
      </c>
      <c r="G4071" s="54">
        <f t="shared" si="70"/>
        <v>0</v>
      </c>
      <c r="H4071" s="39">
        <f>SUM(G4071:G4071)</f>
        <v>0</v>
      </c>
      <c r="I4071" s="40"/>
      <c r="J4071" s="156">
        <v>0</v>
      </c>
    </row>
    <row r="4072" spans="1:10" ht="15.75" hidden="1" thickBot="1" x14ac:dyDescent="0.3">
      <c r="A4072" s="228"/>
      <c r="B4072" s="226"/>
      <c r="C4072" s="55"/>
      <c r="D4072" s="55"/>
      <c r="E4072" s="66"/>
      <c r="F4072" s="76" t="s">
        <v>572</v>
      </c>
      <c r="G4072" s="76" t="str">
        <f t="shared" si="70"/>
        <v/>
      </c>
      <c r="H4072" s="77"/>
      <c r="I4072" s="74"/>
      <c r="J4072" s="156">
        <v>0</v>
      </c>
    </row>
    <row r="4073" spans="1:10" ht="15.75" hidden="1" thickBot="1" x14ac:dyDescent="0.3">
      <c r="A4073" s="221" t="s">
        <v>1311</v>
      </c>
      <c r="B4073" s="224" t="str">
        <f>INDEX(Orçamentária!A:B,MATCH(Composições!A4073,Orçamentária!A:A,0),2)</f>
        <v>Piso em taco de madeira - Linha Residencial</v>
      </c>
      <c r="C4073" s="41"/>
      <c r="D4073" s="26" t="str">
        <f>TRIM(INDEX(Orçamentária!C:C,MATCH(Composições!A4073,Orçamentária!A:A,0),1))</f>
        <v>m2</v>
      </c>
      <c r="E4073" s="27"/>
      <c r="F4073" s="49" t="s">
        <v>572</v>
      </c>
      <c r="G4073" s="28" t="str">
        <f t="shared" si="70"/>
        <v/>
      </c>
      <c r="H4073" s="29"/>
      <c r="I4073" s="30"/>
      <c r="J4073" s="156">
        <v>0</v>
      </c>
    </row>
    <row r="4074" spans="1:10" ht="15.75" hidden="1" thickBot="1" x14ac:dyDescent="0.3">
      <c r="A4074" s="227"/>
      <c r="B4074" s="225"/>
      <c r="C4074" s="32"/>
      <c r="D4074" s="32"/>
      <c r="E4074" s="33"/>
      <c r="F4074" s="54" t="s">
        <v>572</v>
      </c>
      <c r="G4074" s="54" t="str">
        <f t="shared" si="70"/>
        <v/>
      </c>
      <c r="H4074" s="73"/>
      <c r="I4074" s="74"/>
      <c r="J4074" s="156">
        <v>0</v>
      </c>
    </row>
    <row r="4075" spans="1:10" ht="26.25" hidden="1" thickBot="1" x14ac:dyDescent="0.3">
      <c r="A4075" s="227"/>
      <c r="B4075" s="225"/>
      <c r="C4075" s="36" t="s">
        <v>1312</v>
      </c>
      <c r="D4075" s="47" t="s">
        <v>1053</v>
      </c>
      <c r="E4075" s="37">
        <v>1.05</v>
      </c>
      <c r="F4075" s="54">
        <v>123.68049999999999</v>
      </c>
      <c r="G4075" s="54">
        <f t="shared" si="70"/>
        <v>129.86452499999999</v>
      </c>
      <c r="H4075" s="39">
        <f>SUM(G4075:G4078)</f>
        <v>158.54576124999997</v>
      </c>
      <c r="I4075" s="40"/>
      <c r="J4075" s="156">
        <v>0</v>
      </c>
    </row>
    <row r="4076" spans="1:10" ht="15.75" hidden="1" thickBot="1" x14ac:dyDescent="0.3">
      <c r="A4076" s="227"/>
      <c r="B4076" s="225"/>
      <c r="C4076" s="36" t="s">
        <v>1313</v>
      </c>
      <c r="D4076" s="47" t="s">
        <v>105</v>
      </c>
      <c r="E4076" s="37">
        <v>0.57499999999999996</v>
      </c>
      <c r="F4076" s="54">
        <v>17.499000000000002</v>
      </c>
      <c r="G4076" s="54">
        <f t="shared" si="70"/>
        <v>10.061925</v>
      </c>
      <c r="H4076" s="73"/>
      <c r="I4076" s="74"/>
      <c r="J4076" s="156">
        <v>0</v>
      </c>
    </row>
    <row r="4077" spans="1:10" ht="15.75" hidden="1" thickBot="1" x14ac:dyDescent="0.3">
      <c r="A4077" s="227"/>
      <c r="B4077" s="225"/>
      <c r="C4077" s="36" t="s">
        <v>760</v>
      </c>
      <c r="D4077" s="36" t="s">
        <v>759</v>
      </c>
      <c r="E4077" s="37">
        <v>0.2399</v>
      </c>
      <c r="F4077" s="54">
        <v>16.311500000000002</v>
      </c>
      <c r="G4077" s="54">
        <f t="shared" si="70"/>
        <v>3.9131288500000005</v>
      </c>
      <c r="H4077" s="73"/>
      <c r="I4077" s="74"/>
      <c r="J4077" s="156">
        <v>0</v>
      </c>
    </row>
    <row r="4078" spans="1:10" ht="15.75" hidden="1" thickBot="1" x14ac:dyDescent="0.3">
      <c r="A4078" s="227"/>
      <c r="B4078" s="225"/>
      <c r="C4078" s="36" t="s">
        <v>1291</v>
      </c>
      <c r="D4078" s="36" t="s">
        <v>759</v>
      </c>
      <c r="E4078" s="37">
        <v>0.57589999999999997</v>
      </c>
      <c r="F4078" s="54">
        <v>25.535999999999998</v>
      </c>
      <c r="G4078" s="54">
        <f t="shared" si="70"/>
        <v>14.706182399999998</v>
      </c>
      <c r="H4078" s="73"/>
      <c r="I4078" s="74"/>
      <c r="J4078" s="156">
        <v>0</v>
      </c>
    </row>
    <row r="4079" spans="1:10" ht="15.75" hidden="1" thickBot="1" x14ac:dyDescent="0.3">
      <c r="A4079" s="227"/>
      <c r="B4079" s="225"/>
      <c r="C4079" s="55"/>
      <c r="D4079" s="55"/>
      <c r="E4079" s="66"/>
      <c r="F4079" s="76" t="s">
        <v>572</v>
      </c>
      <c r="G4079" s="76" t="str">
        <f t="shared" si="70"/>
        <v/>
      </c>
      <c r="H4079" s="77"/>
      <c r="I4079" s="74"/>
      <c r="J4079" s="156">
        <v>0</v>
      </c>
    </row>
    <row r="4080" spans="1:10" ht="15.75" hidden="1" thickBot="1" x14ac:dyDescent="0.3">
      <c r="A4080" s="221" t="s">
        <v>1314</v>
      </c>
      <c r="B4080" s="224" t="str">
        <f>INDEX(Orçamentária!A:B,MATCH(Composições!A4080,Orçamentária!A:A,0),2)</f>
        <v>Piso de borracha antiderrapante tipo moeda</v>
      </c>
      <c r="C4080" s="41"/>
      <c r="D4080" s="26" t="str">
        <f>TRIM(INDEX(Orçamentária!C:C,MATCH(Composições!A4080,Orçamentária!A:A,0),1))</f>
        <v>m2</v>
      </c>
      <c r="E4080" s="27"/>
      <c r="F4080" s="49" t="s">
        <v>572</v>
      </c>
      <c r="G4080" s="28" t="str">
        <f t="shared" si="70"/>
        <v/>
      </c>
      <c r="H4080" s="29"/>
      <c r="I4080" s="30"/>
      <c r="J4080" s="156">
        <v>0</v>
      </c>
    </row>
    <row r="4081" spans="1:10" ht="15.75" hidden="1" thickBot="1" x14ac:dyDescent="0.3">
      <c r="A4081" s="227"/>
      <c r="B4081" s="225"/>
      <c r="C4081" s="32"/>
      <c r="D4081" s="32"/>
      <c r="E4081" s="33"/>
      <c r="F4081" s="54" t="s">
        <v>572</v>
      </c>
      <c r="G4081" s="54" t="str">
        <f t="shared" si="70"/>
        <v/>
      </c>
      <c r="H4081" s="73"/>
      <c r="I4081" s="74"/>
      <c r="J4081" s="156">
        <v>0</v>
      </c>
    </row>
    <row r="4082" spans="1:10" ht="15.75" hidden="1" thickBot="1" x14ac:dyDescent="0.3">
      <c r="A4082" s="227"/>
      <c r="B4082" s="225"/>
      <c r="C4082" s="36" t="s">
        <v>305</v>
      </c>
      <c r="D4082" s="47" t="s">
        <v>957</v>
      </c>
      <c r="E4082" s="37">
        <v>0.56369999999999998</v>
      </c>
      <c r="F4082" s="54">
        <v>25.478999999999999</v>
      </c>
      <c r="G4082" s="54">
        <f t="shared" si="70"/>
        <v>14.362512299999999</v>
      </c>
      <c r="H4082" s="39">
        <f>SUM(G4082:G4085)</f>
        <v>105.53748455</v>
      </c>
      <c r="I4082" s="40"/>
      <c r="J4082" s="156">
        <v>0</v>
      </c>
    </row>
    <row r="4083" spans="1:10" ht="26.25" hidden="1" thickBot="1" x14ac:dyDescent="0.3">
      <c r="A4083" s="227"/>
      <c r="B4083" s="225"/>
      <c r="C4083" s="36" t="s">
        <v>3468</v>
      </c>
      <c r="D4083" s="47" t="s">
        <v>1053</v>
      </c>
      <c r="E4083" s="37">
        <v>1.06</v>
      </c>
      <c r="F4083" s="54">
        <v>72.836500000000001</v>
      </c>
      <c r="G4083" s="54">
        <f t="shared" si="70"/>
        <v>77.206690000000009</v>
      </c>
      <c r="H4083" s="73"/>
      <c r="I4083" s="74"/>
      <c r="J4083" s="156">
        <v>0</v>
      </c>
    </row>
    <row r="4084" spans="1:10" ht="15.75" hidden="1" thickBot="1" x14ac:dyDescent="0.3">
      <c r="A4084" s="227"/>
      <c r="B4084" s="225"/>
      <c r="C4084" s="36" t="s">
        <v>768</v>
      </c>
      <c r="D4084" s="36" t="s">
        <v>759</v>
      </c>
      <c r="E4084" s="37">
        <v>0.48359999999999997</v>
      </c>
      <c r="F4084" s="54">
        <v>22.087499999999999</v>
      </c>
      <c r="G4084" s="54">
        <f t="shared" si="70"/>
        <v>10.681514999999999</v>
      </c>
      <c r="H4084" s="73"/>
      <c r="I4084" s="74"/>
      <c r="J4084" s="156">
        <v>0</v>
      </c>
    </row>
    <row r="4085" spans="1:10" ht="15.75" hidden="1" thickBot="1" x14ac:dyDescent="0.3">
      <c r="A4085" s="227"/>
      <c r="B4085" s="225"/>
      <c r="C4085" s="36" t="s">
        <v>760</v>
      </c>
      <c r="D4085" s="36" t="s">
        <v>759</v>
      </c>
      <c r="E4085" s="37">
        <v>0.20150000000000001</v>
      </c>
      <c r="F4085" s="54">
        <v>16.311500000000002</v>
      </c>
      <c r="G4085" s="54">
        <f t="shared" si="70"/>
        <v>3.2867672500000005</v>
      </c>
      <c r="H4085" s="73"/>
      <c r="I4085" s="74"/>
      <c r="J4085" s="156">
        <v>0</v>
      </c>
    </row>
    <row r="4086" spans="1:10" ht="15.75" hidden="1" thickBot="1" x14ac:dyDescent="0.3">
      <c r="A4086" s="227"/>
      <c r="B4086" s="225"/>
      <c r="C4086" s="55"/>
      <c r="D4086" s="55"/>
      <c r="E4086" s="66"/>
      <c r="F4086" s="76" t="s">
        <v>572</v>
      </c>
      <c r="G4086" s="76" t="str">
        <f t="shared" si="70"/>
        <v/>
      </c>
      <c r="H4086" s="77"/>
      <c r="I4086" s="74"/>
      <c r="J4086" s="156">
        <v>0</v>
      </c>
    </row>
    <row r="4087" spans="1:10" ht="15.75" hidden="1" thickBot="1" x14ac:dyDescent="0.3">
      <c r="A4087" s="221" t="s">
        <v>1315</v>
      </c>
      <c r="B4087" s="224" t="str">
        <f>INDEX(Orçamentária!A:B,MATCH(Composições!A4087,Orçamentária!A:A,0),2)</f>
        <v>Piso sintético flutuante - Linha Residencial</v>
      </c>
      <c r="C4087" s="41"/>
      <c r="D4087" s="26" t="str">
        <f>TRIM(INDEX(Orçamentária!C:C,MATCH(Composições!A4087,Orçamentária!A:A,0),1))</f>
        <v>m2</v>
      </c>
      <c r="E4087" s="27"/>
      <c r="F4087" s="49" t="s">
        <v>572</v>
      </c>
      <c r="G4087" s="28" t="str">
        <f t="shared" si="70"/>
        <v/>
      </c>
      <c r="H4087" s="29"/>
      <c r="I4087" s="30"/>
      <c r="J4087" s="156">
        <v>0</v>
      </c>
    </row>
    <row r="4088" spans="1:10" ht="15.75" hidden="1" thickBot="1" x14ac:dyDescent="0.3">
      <c r="A4088" s="227"/>
      <c r="B4088" s="225"/>
      <c r="C4088" s="32"/>
      <c r="D4088" s="32"/>
      <c r="E4088" s="33"/>
      <c r="F4088" s="54" t="s">
        <v>572</v>
      </c>
      <c r="G4088" s="54" t="str">
        <f t="shared" si="70"/>
        <v/>
      </c>
      <c r="H4088" s="73"/>
      <c r="I4088" s="74"/>
      <c r="J4088" s="156">
        <v>0</v>
      </c>
    </row>
    <row r="4089" spans="1:10" ht="26.25" hidden="1" thickBot="1" x14ac:dyDescent="0.3">
      <c r="A4089" s="227"/>
      <c r="B4089" s="225"/>
      <c r="C4089" s="36" t="s">
        <v>1316</v>
      </c>
      <c r="D4089" s="47" t="s">
        <v>1053</v>
      </c>
      <c r="E4089" s="37">
        <v>1.05</v>
      </c>
      <c r="F4089" s="54" t="s">
        <v>572</v>
      </c>
      <c r="G4089" s="54" t="str">
        <f t="shared" si="70"/>
        <v/>
      </c>
      <c r="H4089" s="39">
        <f>SUM(G4089:G4091)</f>
        <v>14.207456529999998</v>
      </c>
      <c r="I4089" s="40"/>
      <c r="J4089" s="156">
        <v>0</v>
      </c>
    </row>
    <row r="4090" spans="1:10" ht="15.75" hidden="1" thickBot="1" x14ac:dyDescent="0.3">
      <c r="A4090" s="227"/>
      <c r="B4090" s="225"/>
      <c r="C4090" s="36" t="s">
        <v>760</v>
      </c>
      <c r="D4090" s="36" t="s">
        <v>759</v>
      </c>
      <c r="E4090" s="37">
        <v>0.2399</v>
      </c>
      <c r="F4090" s="54">
        <v>16.311500000000002</v>
      </c>
      <c r="G4090" s="54">
        <f t="shared" si="70"/>
        <v>3.9131288500000005</v>
      </c>
      <c r="H4090" s="73"/>
      <c r="I4090" s="74"/>
      <c r="J4090" s="156">
        <v>0</v>
      </c>
    </row>
    <row r="4091" spans="1:10" ht="15.75" hidden="1" thickBot="1" x14ac:dyDescent="0.3">
      <c r="A4091" s="227"/>
      <c r="B4091" s="225"/>
      <c r="C4091" s="36" t="s">
        <v>1291</v>
      </c>
      <c r="D4091" s="36" t="s">
        <v>759</v>
      </c>
      <c r="E4091" s="37">
        <f>0.5759*0.7</f>
        <v>0.40312999999999993</v>
      </c>
      <c r="F4091" s="54">
        <v>25.535999999999998</v>
      </c>
      <c r="G4091" s="54">
        <f t="shared" si="70"/>
        <v>10.294327679999997</v>
      </c>
      <c r="H4091" s="73"/>
      <c r="I4091" s="74"/>
      <c r="J4091" s="156">
        <v>0</v>
      </c>
    </row>
    <row r="4092" spans="1:10" ht="15.75" hidden="1" thickBot="1" x14ac:dyDescent="0.3">
      <c r="A4092" s="227"/>
      <c r="B4092" s="225"/>
      <c r="C4092" s="55"/>
      <c r="D4092" s="55"/>
      <c r="E4092" s="66"/>
      <c r="F4092" s="76" t="s">
        <v>572</v>
      </c>
      <c r="G4092" s="76" t="str">
        <f t="shared" si="70"/>
        <v/>
      </c>
      <c r="H4092" s="77"/>
      <c r="I4092" s="74"/>
      <c r="J4092" s="156">
        <v>0</v>
      </c>
    </row>
    <row r="4093" spans="1:10" ht="15.75" hidden="1" thickBot="1" x14ac:dyDescent="0.3">
      <c r="A4093" s="221" t="s">
        <v>1317</v>
      </c>
      <c r="B4093" s="224" t="str">
        <f>INDEX(Orçamentária!A:B,MATCH(Composições!A4093,Orçamentária!A:A,0),2)</f>
        <v>Revestimento acústico perfilado - Linha Administrativa</v>
      </c>
      <c r="C4093" s="41"/>
      <c r="D4093" s="26" t="str">
        <f>TRIM(INDEX(Orçamentária!C:C,MATCH(Composições!A4093,Orçamentária!A:A,0),1))</f>
        <v>m2</v>
      </c>
      <c r="E4093" s="27"/>
      <c r="F4093" s="49" t="s">
        <v>572</v>
      </c>
      <c r="G4093" s="28" t="str">
        <f t="shared" si="70"/>
        <v/>
      </c>
      <c r="H4093" s="29"/>
      <c r="I4093" s="30"/>
      <c r="J4093" s="156">
        <v>0</v>
      </c>
    </row>
    <row r="4094" spans="1:10" ht="15.75" hidden="1" thickBot="1" x14ac:dyDescent="0.3">
      <c r="A4094" s="227"/>
      <c r="B4094" s="225"/>
      <c r="C4094" s="32"/>
      <c r="D4094" s="32"/>
      <c r="E4094" s="33"/>
      <c r="F4094" s="54" t="s">
        <v>572</v>
      </c>
      <c r="G4094" s="54" t="str">
        <f t="shared" si="70"/>
        <v/>
      </c>
      <c r="H4094" s="73"/>
      <c r="I4094" s="74"/>
      <c r="J4094" s="156">
        <v>0</v>
      </c>
    </row>
    <row r="4095" spans="1:10" ht="26.25" hidden="1" thickBot="1" x14ac:dyDescent="0.3">
      <c r="A4095" s="227"/>
      <c r="B4095" s="225"/>
      <c r="C4095" s="36" t="s">
        <v>1318</v>
      </c>
      <c r="D4095" s="36" t="s">
        <v>96</v>
      </c>
      <c r="E4095" s="37">
        <v>1.05</v>
      </c>
      <c r="F4095" s="54" t="s">
        <v>572</v>
      </c>
      <c r="G4095" s="54" t="str">
        <f t="shared" si="70"/>
        <v/>
      </c>
      <c r="H4095" s="39">
        <f>SUM(G4095:G4097)</f>
        <v>8.1618300000000001</v>
      </c>
      <c r="I4095" s="40"/>
      <c r="J4095" s="156">
        <v>0</v>
      </c>
    </row>
    <row r="4096" spans="1:10" ht="15.75" hidden="1" thickBot="1" x14ac:dyDescent="0.3">
      <c r="A4096" s="227"/>
      <c r="B4096" s="225"/>
      <c r="C4096" s="36" t="s">
        <v>1291</v>
      </c>
      <c r="D4096" s="36" t="s">
        <v>759</v>
      </c>
      <c r="E4096" s="37">
        <v>0.15</v>
      </c>
      <c r="F4096" s="54">
        <v>25.535999999999998</v>
      </c>
      <c r="G4096" s="54">
        <f t="shared" si="70"/>
        <v>3.8303999999999996</v>
      </c>
      <c r="H4096" s="73"/>
      <c r="I4096" s="74"/>
      <c r="J4096" s="156">
        <v>0</v>
      </c>
    </row>
    <row r="4097" spans="1:10" ht="15.75" hidden="1" thickBot="1" x14ac:dyDescent="0.3">
      <c r="A4097" s="227"/>
      <c r="B4097" s="225"/>
      <c r="C4097" s="36" t="s">
        <v>305</v>
      </c>
      <c r="D4097" s="36" t="s">
        <v>42</v>
      </c>
      <c r="E4097" s="37">
        <v>0.17</v>
      </c>
      <c r="F4097" s="54">
        <v>25.478999999999999</v>
      </c>
      <c r="G4097" s="54">
        <f t="shared" si="70"/>
        <v>4.3314300000000001</v>
      </c>
      <c r="H4097" s="73"/>
      <c r="I4097" s="74"/>
      <c r="J4097" s="156">
        <v>0</v>
      </c>
    </row>
    <row r="4098" spans="1:10" ht="15.75" hidden="1" thickBot="1" x14ac:dyDescent="0.3">
      <c r="A4098" s="227"/>
      <c r="B4098" s="225"/>
      <c r="C4098" s="55"/>
      <c r="D4098" s="55"/>
      <c r="E4098" s="66"/>
      <c r="F4098" s="76" t="s">
        <v>572</v>
      </c>
      <c r="G4098" s="76" t="str">
        <f t="shared" si="70"/>
        <v/>
      </c>
      <c r="H4098" s="77"/>
      <c r="I4098" s="74"/>
      <c r="J4098" s="156">
        <v>0</v>
      </c>
    </row>
    <row r="4099" spans="1:10" ht="15.75" hidden="1" thickBot="1" x14ac:dyDescent="0.3">
      <c r="A4099" s="221" t="s">
        <v>1319</v>
      </c>
      <c r="B4099" s="224" t="str">
        <f>INDEX(Orçamentária!A:B,MATCH(Composições!A4099,Orçamentária!A:A,0),2)</f>
        <v>Revestimento acústico plano - Linha Administrativa</v>
      </c>
      <c r="C4099" s="41"/>
      <c r="D4099" s="26" t="str">
        <f>TRIM(INDEX(Orçamentária!C:C,MATCH(Composições!A4099,Orçamentária!A:A,0),1))</f>
        <v>m2</v>
      </c>
      <c r="E4099" s="27"/>
      <c r="F4099" s="49" t="s">
        <v>572</v>
      </c>
      <c r="G4099" s="28" t="str">
        <f t="shared" si="70"/>
        <v/>
      </c>
      <c r="H4099" s="29"/>
      <c r="I4099" s="30"/>
      <c r="J4099" s="156">
        <v>0</v>
      </c>
    </row>
    <row r="4100" spans="1:10" ht="15.75" hidden="1" thickBot="1" x14ac:dyDescent="0.3">
      <c r="A4100" s="227"/>
      <c r="B4100" s="225"/>
      <c r="C4100" s="32"/>
      <c r="D4100" s="32"/>
      <c r="E4100" s="33"/>
      <c r="F4100" s="54" t="s">
        <v>572</v>
      </c>
      <c r="G4100" s="54" t="str">
        <f t="shared" si="70"/>
        <v/>
      </c>
      <c r="H4100" s="73"/>
      <c r="I4100" s="74"/>
      <c r="J4100" s="156">
        <v>0</v>
      </c>
    </row>
    <row r="4101" spans="1:10" ht="26.25" hidden="1" thickBot="1" x14ac:dyDescent="0.3">
      <c r="A4101" s="227"/>
      <c r="B4101" s="225"/>
      <c r="C4101" s="36" t="s">
        <v>1320</v>
      </c>
      <c r="D4101" s="36" t="s">
        <v>96</v>
      </c>
      <c r="E4101" s="37">
        <v>1.05</v>
      </c>
      <c r="F4101" s="54" t="s">
        <v>572</v>
      </c>
      <c r="G4101" s="54" t="str">
        <f t="shared" si="70"/>
        <v/>
      </c>
      <c r="H4101" s="39">
        <f>SUM(G4101:G4103)</f>
        <v>8.1618300000000001</v>
      </c>
      <c r="I4101" s="40"/>
      <c r="J4101" s="156">
        <v>0</v>
      </c>
    </row>
    <row r="4102" spans="1:10" ht="15.75" hidden="1" thickBot="1" x14ac:dyDescent="0.3">
      <c r="A4102" s="227"/>
      <c r="B4102" s="225"/>
      <c r="C4102" s="36" t="s">
        <v>1291</v>
      </c>
      <c r="D4102" s="36" t="s">
        <v>759</v>
      </c>
      <c r="E4102" s="37">
        <v>0.15</v>
      </c>
      <c r="F4102" s="54">
        <v>25.535999999999998</v>
      </c>
      <c r="G4102" s="54">
        <f t="shared" si="70"/>
        <v>3.8303999999999996</v>
      </c>
      <c r="H4102" s="73"/>
      <c r="I4102" s="74"/>
      <c r="J4102" s="156">
        <v>0</v>
      </c>
    </row>
    <row r="4103" spans="1:10" ht="15.75" hidden="1" thickBot="1" x14ac:dyDescent="0.3">
      <c r="A4103" s="227"/>
      <c r="B4103" s="225"/>
      <c r="C4103" s="36" t="s">
        <v>305</v>
      </c>
      <c r="D4103" s="36" t="s">
        <v>42</v>
      </c>
      <c r="E4103" s="37">
        <v>0.17</v>
      </c>
      <c r="F4103" s="54">
        <v>25.478999999999999</v>
      </c>
      <c r="G4103" s="54">
        <f t="shared" si="70"/>
        <v>4.3314300000000001</v>
      </c>
      <c r="H4103" s="73"/>
      <c r="I4103" s="74"/>
      <c r="J4103" s="156">
        <v>0</v>
      </c>
    </row>
    <row r="4104" spans="1:10" ht="15.75" hidden="1" thickBot="1" x14ac:dyDescent="0.3">
      <c r="A4104" s="227"/>
      <c r="B4104" s="225"/>
      <c r="C4104" s="55"/>
      <c r="D4104" s="55"/>
      <c r="E4104" s="66"/>
      <c r="F4104" s="76" t="s">
        <v>572</v>
      </c>
      <c r="G4104" s="76" t="str">
        <f t="shared" si="70"/>
        <v/>
      </c>
      <c r="H4104" s="77"/>
      <c r="I4104" s="74"/>
      <c r="J4104" s="156">
        <v>0</v>
      </c>
    </row>
    <row r="4105" spans="1:10" ht="15.75" hidden="1" thickBot="1" x14ac:dyDescent="0.3">
      <c r="A4105" s="221" t="s">
        <v>1321</v>
      </c>
      <c r="B4105" s="224" t="str">
        <f>INDEX(Orçamentária!A:B,MATCH(Composições!A4105,Orçamentária!A:A,0),2)</f>
        <v>Forro monolítico de gesso em placas</v>
      </c>
      <c r="C4105" s="41"/>
      <c r="D4105" s="26" t="str">
        <f>TRIM(INDEX(Orçamentária!C:C,MATCH(Composições!A4105,Orçamentária!A:A,0),1))</f>
        <v>m2</v>
      </c>
      <c r="E4105" s="27"/>
      <c r="F4105" s="49" t="s">
        <v>572</v>
      </c>
      <c r="G4105" s="28" t="str">
        <f t="shared" si="70"/>
        <v/>
      </c>
      <c r="H4105" s="29"/>
      <c r="I4105" s="30"/>
      <c r="J4105" s="156">
        <v>0</v>
      </c>
    </row>
    <row r="4106" spans="1:10" ht="15.75" hidden="1" thickBot="1" x14ac:dyDescent="0.3">
      <c r="A4106" s="227"/>
      <c r="B4106" s="225"/>
      <c r="C4106" s="32"/>
      <c r="D4106" s="32"/>
      <c r="E4106" s="33"/>
      <c r="F4106" s="54" t="s">
        <v>572</v>
      </c>
      <c r="G4106" s="54" t="str">
        <f t="shared" si="70"/>
        <v/>
      </c>
      <c r="H4106" s="73"/>
      <c r="I4106" s="74"/>
      <c r="J4106" s="156">
        <v>0</v>
      </c>
    </row>
    <row r="4107" spans="1:10" ht="15.75" hidden="1" thickBot="1" x14ac:dyDescent="0.3">
      <c r="A4107" s="227"/>
      <c r="B4107" s="225"/>
      <c r="C4107" s="36" t="s">
        <v>1322</v>
      </c>
      <c r="D4107" s="47" t="s">
        <v>957</v>
      </c>
      <c r="E4107" s="37">
        <v>2.5000000000000001E-2</v>
      </c>
      <c r="F4107" s="54">
        <v>26.866</v>
      </c>
      <c r="G4107" s="54">
        <f t="shared" si="70"/>
        <v>0.67165000000000008</v>
      </c>
      <c r="H4107" s="39">
        <f>SUM(G4107:G4113)</f>
        <v>33.537937399999997</v>
      </c>
      <c r="I4107" s="40"/>
      <c r="J4107" s="156">
        <v>0</v>
      </c>
    </row>
    <row r="4108" spans="1:10" ht="26.25" hidden="1" thickBot="1" x14ac:dyDescent="0.3">
      <c r="A4108" s="227"/>
      <c r="B4108" s="225"/>
      <c r="C4108" s="36" t="s">
        <v>3784</v>
      </c>
      <c r="D4108" s="47" t="s">
        <v>957</v>
      </c>
      <c r="E4108" s="37">
        <v>0.99639999999999995</v>
      </c>
      <c r="F4108" s="54">
        <v>0.33249999999999996</v>
      </c>
      <c r="G4108" s="54">
        <f t="shared" si="70"/>
        <v>0.33130299999999996</v>
      </c>
      <c r="H4108" s="73"/>
      <c r="I4108" s="74"/>
      <c r="J4108" s="156">
        <v>0</v>
      </c>
    </row>
    <row r="4109" spans="1:10" ht="26.25" hidden="1" thickBot="1" x14ac:dyDescent="0.3">
      <c r="A4109" s="227"/>
      <c r="B4109" s="225"/>
      <c r="C4109" s="36" t="s">
        <v>3789</v>
      </c>
      <c r="D4109" s="36" t="s">
        <v>1053</v>
      </c>
      <c r="E4109" s="37">
        <v>1.0293000000000001</v>
      </c>
      <c r="F4109" s="54">
        <v>7.7614999999999998</v>
      </c>
      <c r="G4109" s="54">
        <f t="shared" si="70"/>
        <v>7.9889119500000003</v>
      </c>
      <c r="H4109" s="73"/>
      <c r="I4109" s="74"/>
      <c r="J4109" s="156">
        <v>0</v>
      </c>
    </row>
    <row r="4110" spans="1:10" ht="15.75" hidden="1" thickBot="1" x14ac:dyDescent="0.3">
      <c r="A4110" s="227"/>
      <c r="B4110" s="225"/>
      <c r="C4110" s="36" t="s">
        <v>1323</v>
      </c>
      <c r="D4110" s="36" t="s">
        <v>957</v>
      </c>
      <c r="E4110" s="37">
        <v>7.7999999999999996E-3</v>
      </c>
      <c r="F4110" s="54">
        <v>14.240499999999999</v>
      </c>
      <c r="G4110" s="54">
        <f t="shared" si="70"/>
        <v>0.11107589999999999</v>
      </c>
      <c r="H4110" s="73"/>
      <c r="I4110" s="74"/>
      <c r="J4110" s="156">
        <v>0</v>
      </c>
    </row>
    <row r="4111" spans="1:10" ht="26.25" hidden="1" thickBot="1" x14ac:dyDescent="0.3">
      <c r="A4111" s="227"/>
      <c r="B4111" s="225"/>
      <c r="C4111" s="36" t="s">
        <v>285</v>
      </c>
      <c r="D4111" s="47" t="s">
        <v>1324</v>
      </c>
      <c r="E4111" s="37">
        <v>3.0800000000000001E-2</v>
      </c>
      <c r="F4111" s="54">
        <v>13.3095</v>
      </c>
      <c r="G4111" s="54">
        <f t="shared" si="70"/>
        <v>0.40993260000000004</v>
      </c>
      <c r="H4111" s="73"/>
      <c r="I4111" s="74"/>
      <c r="J4111" s="156">
        <v>0</v>
      </c>
    </row>
    <row r="4112" spans="1:10" ht="15.75" hidden="1" thickBot="1" x14ac:dyDescent="0.3">
      <c r="A4112" s="227"/>
      <c r="B4112" s="225"/>
      <c r="C4112" s="36" t="s">
        <v>1325</v>
      </c>
      <c r="D4112" s="36" t="s">
        <v>759</v>
      </c>
      <c r="E4112" s="37">
        <v>0.7974</v>
      </c>
      <c r="F4112" s="54">
        <v>21.973499999999998</v>
      </c>
      <c r="G4112" s="54">
        <f t="shared" si="70"/>
        <v>17.521668899999998</v>
      </c>
      <c r="H4112" s="73"/>
      <c r="I4112" s="74"/>
      <c r="J4112" s="156">
        <v>0</v>
      </c>
    </row>
    <row r="4113" spans="1:10" ht="15.75" hidden="1" thickBot="1" x14ac:dyDescent="0.3">
      <c r="A4113" s="227"/>
      <c r="B4113" s="225"/>
      <c r="C4113" s="36" t="s">
        <v>760</v>
      </c>
      <c r="D4113" s="36" t="s">
        <v>759</v>
      </c>
      <c r="E4113" s="37">
        <v>0.3987</v>
      </c>
      <c r="F4113" s="54">
        <v>16.311500000000002</v>
      </c>
      <c r="G4113" s="54">
        <f t="shared" si="70"/>
        <v>6.5033950500000008</v>
      </c>
      <c r="H4113" s="73"/>
      <c r="I4113" s="74"/>
      <c r="J4113" s="156">
        <v>0</v>
      </c>
    </row>
    <row r="4114" spans="1:10" ht="15.75" hidden="1" thickBot="1" x14ac:dyDescent="0.3">
      <c r="A4114" s="227"/>
      <c r="B4114" s="225"/>
      <c r="C4114" s="55"/>
      <c r="D4114" s="55"/>
      <c r="E4114" s="66"/>
      <c r="F4114" s="76" t="s">
        <v>572</v>
      </c>
      <c r="G4114" s="76" t="str">
        <f t="shared" si="70"/>
        <v/>
      </c>
      <c r="H4114" s="77"/>
      <c r="I4114" s="74"/>
      <c r="J4114" s="156">
        <v>0</v>
      </c>
    </row>
    <row r="4115" spans="1:10" ht="15.75" hidden="1" thickBot="1" x14ac:dyDescent="0.3">
      <c r="A4115" s="221" t="s">
        <v>1326</v>
      </c>
      <c r="B4115" s="224" t="str">
        <f>INDEX(Orçamentária!A:B,MATCH(Composições!A4115,Orçamentária!A:A,0),2)</f>
        <v>Textura acrílica - Linha Administrativa</v>
      </c>
      <c r="C4115" s="41"/>
      <c r="D4115" s="26" t="str">
        <f>TRIM(INDEX(Orçamentária!C:C,MATCH(Composições!A4115,Orçamentária!A:A,0),1))</f>
        <v>m2</v>
      </c>
      <c r="E4115" s="27"/>
      <c r="F4115" s="49" t="s">
        <v>572</v>
      </c>
      <c r="G4115" s="28" t="str">
        <f t="shared" si="70"/>
        <v/>
      </c>
      <c r="H4115" s="29"/>
      <c r="I4115" s="30"/>
      <c r="J4115" s="156">
        <v>0</v>
      </c>
    </row>
    <row r="4116" spans="1:10" ht="15.75" hidden="1" thickBot="1" x14ac:dyDescent="0.3">
      <c r="A4116" s="227"/>
      <c r="B4116" s="225"/>
      <c r="C4116" s="32"/>
      <c r="D4116" s="32"/>
      <c r="E4116" s="33"/>
      <c r="F4116" s="54" t="s">
        <v>572</v>
      </c>
      <c r="G4116" s="54" t="str">
        <f t="shared" si="70"/>
        <v/>
      </c>
      <c r="H4116" s="73"/>
      <c r="I4116" s="74"/>
      <c r="J4116" s="156">
        <v>0</v>
      </c>
    </row>
    <row r="4117" spans="1:10" ht="26.25" hidden="1" thickBot="1" x14ac:dyDescent="0.3">
      <c r="A4117" s="227"/>
      <c r="B4117" s="225"/>
      <c r="C4117" s="36" t="s">
        <v>1327</v>
      </c>
      <c r="D4117" s="36" t="s">
        <v>957</v>
      </c>
      <c r="E4117" s="37">
        <v>1.1399999999999999</v>
      </c>
      <c r="F4117" s="54">
        <v>5.9184999999999999</v>
      </c>
      <c r="G4117" s="54">
        <f t="shared" si="70"/>
        <v>6.7470899999999991</v>
      </c>
      <c r="H4117" s="39">
        <f>SUM(G4117:G4119)</f>
        <v>12.2018475</v>
      </c>
      <c r="I4117" s="40"/>
      <c r="J4117" s="156">
        <v>0</v>
      </c>
    </row>
    <row r="4118" spans="1:10" ht="15.75" hidden="1" thickBot="1" x14ac:dyDescent="0.3">
      <c r="A4118" s="227"/>
      <c r="B4118" s="225"/>
      <c r="C4118" s="36" t="s">
        <v>1156</v>
      </c>
      <c r="D4118" s="36" t="s">
        <v>759</v>
      </c>
      <c r="E4118" s="37">
        <v>0.188</v>
      </c>
      <c r="F4118" s="54">
        <v>23.027999999999999</v>
      </c>
      <c r="G4118" s="54">
        <f t="shared" si="70"/>
        <v>4.3292639999999993</v>
      </c>
      <c r="H4118" s="73"/>
      <c r="I4118" s="74"/>
      <c r="J4118" s="156">
        <v>0</v>
      </c>
    </row>
    <row r="4119" spans="1:10" ht="15.75" hidden="1" thickBot="1" x14ac:dyDescent="0.3">
      <c r="A4119" s="227"/>
      <c r="B4119" s="225"/>
      <c r="C4119" s="36" t="s">
        <v>760</v>
      </c>
      <c r="D4119" s="36" t="s">
        <v>759</v>
      </c>
      <c r="E4119" s="37">
        <v>6.9000000000000006E-2</v>
      </c>
      <c r="F4119" s="54">
        <v>16.311500000000002</v>
      </c>
      <c r="G4119" s="54">
        <f t="shared" si="70"/>
        <v>1.1254935000000001</v>
      </c>
      <c r="H4119" s="73"/>
      <c r="I4119" s="74"/>
      <c r="J4119" s="156">
        <v>0</v>
      </c>
    </row>
    <row r="4120" spans="1:10" ht="15.75" hidden="1" thickBot="1" x14ac:dyDescent="0.3">
      <c r="A4120" s="227"/>
      <c r="B4120" s="225"/>
      <c r="C4120" s="55"/>
      <c r="D4120" s="55"/>
      <c r="E4120" s="66"/>
      <c r="F4120" s="76" t="s">
        <v>572</v>
      </c>
      <c r="G4120" s="76" t="str">
        <f t="shared" si="70"/>
        <v/>
      </c>
      <c r="H4120" s="77"/>
      <c r="I4120" s="74"/>
      <c r="J4120" s="156">
        <v>0</v>
      </c>
    </row>
    <row r="4121" spans="1:10" ht="15.75" hidden="1" thickBot="1" x14ac:dyDescent="0.3">
      <c r="A4121" s="221" t="s">
        <v>1328</v>
      </c>
      <c r="B4121" s="224" t="str">
        <f>INDEX(Orçamentária!A:B,MATCH(Composições!A4121,Orçamentária!A:A,0),2)</f>
        <v>Pintura com tinta látex acrílica Premium - cores especiais (sistema tintométrico)</v>
      </c>
      <c r="C4121" s="41"/>
      <c r="D4121" s="26" t="str">
        <f>TRIM(INDEX(Orçamentária!C:C,MATCH(Composições!A4121,Orçamentária!A:A,0),1))</f>
        <v>m2</v>
      </c>
      <c r="E4121" s="27"/>
      <c r="F4121" s="49" t="s">
        <v>572</v>
      </c>
      <c r="G4121" s="28" t="str">
        <f t="shared" ref="G4121:G4184" si="71">IF(ISNUMBER(F4121),E4121*F4121,"")</f>
        <v/>
      </c>
      <c r="H4121" s="29"/>
      <c r="I4121" s="30"/>
      <c r="J4121" s="156">
        <v>0</v>
      </c>
    </row>
    <row r="4122" spans="1:10" ht="15.75" hidden="1" thickBot="1" x14ac:dyDescent="0.3">
      <c r="A4122" s="227"/>
      <c r="B4122" s="225"/>
      <c r="C4122" s="32"/>
      <c r="D4122" s="32"/>
      <c r="E4122" s="33"/>
      <c r="F4122" s="54" t="s">
        <v>572</v>
      </c>
      <c r="G4122" s="54" t="str">
        <f t="shared" si="71"/>
        <v/>
      </c>
      <c r="H4122" s="73"/>
      <c r="I4122" s="74"/>
      <c r="J4122" s="156">
        <v>0</v>
      </c>
    </row>
    <row r="4123" spans="1:10" ht="15.75" hidden="1" thickBot="1" x14ac:dyDescent="0.3">
      <c r="A4123" s="227"/>
      <c r="B4123" s="225"/>
      <c r="C4123" s="36" t="s">
        <v>1329</v>
      </c>
      <c r="D4123" s="36" t="s">
        <v>105</v>
      </c>
      <c r="E4123" s="37">
        <f>ROUND(0.33*1.15,4)</f>
        <v>0.3795</v>
      </c>
      <c r="F4123" s="54">
        <v>19.227999999999998</v>
      </c>
      <c r="G4123" s="54">
        <f t="shared" si="71"/>
        <v>7.2970259999999989</v>
      </c>
      <c r="H4123" s="39">
        <f>SUM(G4123:G4125)</f>
        <v>12.728755499999998</v>
      </c>
      <c r="I4123" s="40"/>
      <c r="J4123" s="156">
        <v>0</v>
      </c>
    </row>
    <row r="4124" spans="1:10" ht="15.75" hidden="1" thickBot="1" x14ac:dyDescent="0.3">
      <c r="A4124" s="227"/>
      <c r="B4124" s="225"/>
      <c r="C4124" s="36" t="s">
        <v>1156</v>
      </c>
      <c r="D4124" s="36" t="s">
        <v>759</v>
      </c>
      <c r="E4124" s="37">
        <v>0.187</v>
      </c>
      <c r="F4124" s="54">
        <v>23.027999999999999</v>
      </c>
      <c r="G4124" s="54">
        <f t="shared" si="71"/>
        <v>4.3062360000000002</v>
      </c>
      <c r="H4124" s="73"/>
      <c r="I4124" s="74"/>
      <c r="J4124" s="156">
        <v>0</v>
      </c>
    </row>
    <row r="4125" spans="1:10" ht="15.75" hidden="1" thickBot="1" x14ac:dyDescent="0.3">
      <c r="A4125" s="227"/>
      <c r="B4125" s="225"/>
      <c r="C4125" s="36" t="s">
        <v>760</v>
      </c>
      <c r="D4125" s="36" t="s">
        <v>759</v>
      </c>
      <c r="E4125" s="37">
        <v>6.9000000000000006E-2</v>
      </c>
      <c r="F4125" s="54">
        <v>16.311500000000002</v>
      </c>
      <c r="G4125" s="54">
        <f t="shared" si="71"/>
        <v>1.1254935000000001</v>
      </c>
      <c r="H4125" s="73"/>
      <c r="I4125" s="74"/>
      <c r="J4125" s="156">
        <v>0</v>
      </c>
    </row>
    <row r="4126" spans="1:10" ht="15.75" hidden="1" thickBot="1" x14ac:dyDescent="0.3">
      <c r="A4126" s="227"/>
      <c r="B4126" s="225"/>
      <c r="C4126" s="36"/>
      <c r="D4126" s="36"/>
      <c r="E4126" s="37"/>
      <c r="F4126" s="54" t="s">
        <v>572</v>
      </c>
      <c r="G4126" s="54" t="str">
        <f t="shared" si="71"/>
        <v/>
      </c>
      <c r="H4126" s="73"/>
      <c r="I4126" s="74"/>
      <c r="J4126" s="156">
        <v>0</v>
      </c>
    </row>
    <row r="4127" spans="1:10" ht="26.25" hidden="1" thickBot="1" x14ac:dyDescent="0.3">
      <c r="A4127" s="227"/>
      <c r="B4127" s="225"/>
      <c r="C4127" s="36" t="s">
        <v>1330</v>
      </c>
      <c r="D4127" s="36"/>
      <c r="E4127" s="37"/>
      <c r="F4127" s="54" t="s">
        <v>572</v>
      </c>
      <c r="G4127" s="54" t="str">
        <f t="shared" si="71"/>
        <v/>
      </c>
      <c r="H4127" s="73"/>
      <c r="I4127" s="74"/>
      <c r="J4127" s="156">
        <v>0</v>
      </c>
    </row>
    <row r="4128" spans="1:10" ht="15.75" hidden="1" thickBot="1" x14ac:dyDescent="0.3">
      <c r="A4128" s="227"/>
      <c r="B4128" s="225"/>
      <c r="C4128" s="55"/>
      <c r="D4128" s="55"/>
      <c r="E4128" s="66"/>
      <c r="F4128" s="76" t="s">
        <v>572</v>
      </c>
      <c r="G4128" s="76" t="str">
        <f t="shared" si="71"/>
        <v/>
      </c>
      <c r="H4128" s="77"/>
      <c r="I4128" s="74"/>
      <c r="J4128" s="156">
        <v>0</v>
      </c>
    </row>
    <row r="4129" spans="1:10" ht="15.75" hidden="1" thickBot="1" x14ac:dyDescent="0.3">
      <c r="A4129" s="221" t="s">
        <v>1332</v>
      </c>
      <c r="B4129" s="224" t="str">
        <f>INDEX(Orçamentária!A:B,MATCH(Composições!A4129,Orçamentária!A:A,0),2)</f>
        <v>Pintura com tinta acrílica (pisos)</v>
      </c>
      <c r="C4129" s="41"/>
      <c r="D4129" s="26" t="str">
        <f>TRIM(INDEX(Orçamentária!C:C,MATCH(Composições!A4129,Orçamentária!A:A,0),1))</f>
        <v>m2</v>
      </c>
      <c r="E4129" s="27"/>
      <c r="F4129" s="49" t="s">
        <v>572</v>
      </c>
      <c r="G4129" s="28" t="str">
        <f t="shared" si="71"/>
        <v/>
      </c>
      <c r="H4129" s="29"/>
      <c r="I4129" s="30"/>
      <c r="J4129" s="156">
        <v>0</v>
      </c>
    </row>
    <row r="4130" spans="1:10" ht="15.75" hidden="1" thickBot="1" x14ac:dyDescent="0.3">
      <c r="A4130" s="227"/>
      <c r="B4130" s="225"/>
      <c r="C4130" s="32"/>
      <c r="D4130" s="32"/>
      <c r="E4130" s="33"/>
      <c r="F4130" s="54" t="s">
        <v>572</v>
      </c>
      <c r="G4130" s="54" t="str">
        <f t="shared" si="71"/>
        <v/>
      </c>
      <c r="H4130" s="73"/>
      <c r="I4130" s="74"/>
      <c r="J4130" s="156">
        <v>0</v>
      </c>
    </row>
    <row r="4131" spans="1:10" ht="15.75" hidden="1" thickBot="1" x14ac:dyDescent="0.3">
      <c r="A4131" s="227"/>
      <c r="B4131" s="225"/>
      <c r="C4131" s="36" t="s">
        <v>1155</v>
      </c>
      <c r="D4131" s="36" t="s">
        <v>105</v>
      </c>
      <c r="E4131" s="37">
        <v>0.17</v>
      </c>
      <c r="F4131" s="54">
        <v>12.824999999999999</v>
      </c>
      <c r="G4131" s="54">
        <f t="shared" si="71"/>
        <v>2.18025</v>
      </c>
      <c r="H4131" s="39">
        <f>SUM(G4131:G4133)</f>
        <v>14.317925000000001</v>
      </c>
      <c r="I4131" s="40"/>
      <c r="J4131" s="156">
        <v>0</v>
      </c>
    </row>
    <row r="4132" spans="1:10" ht="15.75" hidden="1" thickBot="1" x14ac:dyDescent="0.3">
      <c r="A4132" s="227"/>
      <c r="B4132" s="225"/>
      <c r="C4132" s="36" t="s">
        <v>1156</v>
      </c>
      <c r="D4132" s="36" t="s">
        <v>759</v>
      </c>
      <c r="E4132" s="37">
        <v>0.35</v>
      </c>
      <c r="F4132" s="54">
        <v>23.027999999999999</v>
      </c>
      <c r="G4132" s="54">
        <f t="shared" si="71"/>
        <v>8.0597999999999992</v>
      </c>
      <c r="H4132" s="73"/>
      <c r="I4132" s="74"/>
      <c r="J4132" s="156">
        <v>0</v>
      </c>
    </row>
    <row r="4133" spans="1:10" ht="15.75" hidden="1" thickBot="1" x14ac:dyDescent="0.3">
      <c r="A4133" s="227"/>
      <c r="B4133" s="225"/>
      <c r="C4133" s="36" t="s">
        <v>760</v>
      </c>
      <c r="D4133" s="36" t="s">
        <v>759</v>
      </c>
      <c r="E4133" s="37">
        <v>0.25</v>
      </c>
      <c r="F4133" s="54">
        <v>16.311500000000002</v>
      </c>
      <c r="G4133" s="54">
        <f t="shared" si="71"/>
        <v>4.0778750000000006</v>
      </c>
      <c r="H4133" s="73"/>
      <c r="I4133" s="74"/>
      <c r="J4133" s="156">
        <v>0</v>
      </c>
    </row>
    <row r="4134" spans="1:10" ht="15.75" hidden="1" thickBot="1" x14ac:dyDescent="0.3">
      <c r="A4134" s="227"/>
      <c r="B4134" s="225"/>
      <c r="C4134" s="55"/>
      <c r="D4134" s="55"/>
      <c r="E4134" s="66"/>
      <c r="F4134" s="76" t="s">
        <v>572</v>
      </c>
      <c r="G4134" s="76" t="str">
        <f t="shared" si="71"/>
        <v/>
      </c>
      <c r="H4134" s="77"/>
      <c r="I4134" s="74"/>
      <c r="J4134" s="156">
        <v>0</v>
      </c>
    </row>
    <row r="4135" spans="1:10" ht="15.75" hidden="1" thickBot="1" x14ac:dyDescent="0.3">
      <c r="A4135" s="221" t="s">
        <v>1333</v>
      </c>
      <c r="B4135" s="224" t="str">
        <f>INDEX(Orçamentária!A:B,MATCH(Composições!A4135,Orçamentária!A:A,0),2)</f>
        <v>Pintura com tinta epóxi de alto desempenho (pisos)</v>
      </c>
      <c r="C4135" s="41"/>
      <c r="D4135" s="26" t="str">
        <f>TRIM(INDEX(Orçamentária!C:C,MATCH(Composições!A4135,Orçamentária!A:A,0),1))</f>
        <v>m2</v>
      </c>
      <c r="E4135" s="27"/>
      <c r="F4135" s="49" t="s">
        <v>572</v>
      </c>
      <c r="G4135" s="28" t="str">
        <f t="shared" si="71"/>
        <v/>
      </c>
      <c r="H4135" s="29"/>
      <c r="I4135" s="30"/>
      <c r="J4135" s="156">
        <v>0</v>
      </c>
    </row>
    <row r="4136" spans="1:10" ht="15.75" hidden="1" thickBot="1" x14ac:dyDescent="0.3">
      <c r="A4136" s="227"/>
      <c r="B4136" s="225"/>
      <c r="C4136" s="32"/>
      <c r="D4136" s="32"/>
      <c r="E4136" s="33"/>
      <c r="F4136" s="54" t="s">
        <v>572</v>
      </c>
      <c r="G4136" s="54" t="str">
        <f t="shared" si="71"/>
        <v/>
      </c>
      <c r="H4136" s="73"/>
      <c r="I4136" s="74"/>
      <c r="J4136" s="156">
        <v>0</v>
      </c>
    </row>
    <row r="4137" spans="1:10" ht="15.75" hidden="1" thickBot="1" x14ac:dyDescent="0.3">
      <c r="A4137" s="227"/>
      <c r="B4137" s="225"/>
      <c r="C4137" s="36" t="s">
        <v>3823</v>
      </c>
      <c r="D4137" s="36" t="s">
        <v>105</v>
      </c>
      <c r="E4137" s="37">
        <v>0.52559999999999996</v>
      </c>
      <c r="F4137" s="54">
        <v>58.719499999999996</v>
      </c>
      <c r="G4137" s="54">
        <f t="shared" si="71"/>
        <v>30.862969199999995</v>
      </c>
      <c r="H4137" s="39">
        <f>SUM(G4137:G4140)</f>
        <v>56.399972399999996</v>
      </c>
      <c r="I4137" s="40"/>
      <c r="J4137" s="156">
        <v>0</v>
      </c>
    </row>
    <row r="4138" spans="1:10" ht="15.75" hidden="1" thickBot="1" x14ac:dyDescent="0.3">
      <c r="A4138" s="227"/>
      <c r="B4138" s="225"/>
      <c r="C4138" s="36" t="s">
        <v>768</v>
      </c>
      <c r="D4138" s="36" t="s">
        <v>759</v>
      </c>
      <c r="E4138" s="37">
        <v>0.5</v>
      </c>
      <c r="F4138" s="54">
        <v>22.087499999999999</v>
      </c>
      <c r="G4138" s="54">
        <f t="shared" si="71"/>
        <v>11.043749999999999</v>
      </c>
      <c r="H4138" s="73"/>
      <c r="I4138" s="74"/>
      <c r="J4138" s="156">
        <v>0</v>
      </c>
    </row>
    <row r="4139" spans="1:10" ht="15.75" hidden="1" thickBot="1" x14ac:dyDescent="0.3">
      <c r="A4139" s="227"/>
      <c r="B4139" s="225"/>
      <c r="C4139" s="36" t="s">
        <v>760</v>
      </c>
      <c r="D4139" s="36" t="s">
        <v>759</v>
      </c>
      <c r="E4139" s="37">
        <v>0.5</v>
      </c>
      <c r="F4139" s="54">
        <v>16.311500000000002</v>
      </c>
      <c r="G4139" s="54">
        <f t="shared" si="71"/>
        <v>8.1557500000000012</v>
      </c>
      <c r="H4139" s="73"/>
      <c r="I4139" s="74"/>
      <c r="J4139" s="156">
        <v>0</v>
      </c>
    </row>
    <row r="4140" spans="1:10" ht="15.75" hidden="1" thickBot="1" x14ac:dyDescent="0.3">
      <c r="A4140" s="227"/>
      <c r="B4140" s="225"/>
      <c r="C4140" s="36" t="s">
        <v>1334</v>
      </c>
      <c r="D4140" s="36" t="s">
        <v>1335</v>
      </c>
      <c r="E4140" s="37">
        <v>3.9199999999999999E-2</v>
      </c>
      <c r="F4140" s="54">
        <v>161.67099999999999</v>
      </c>
      <c r="G4140" s="54">
        <f t="shared" si="71"/>
        <v>6.3375031999999996</v>
      </c>
      <c r="H4140" s="73"/>
      <c r="I4140" s="74"/>
      <c r="J4140" s="156">
        <v>0</v>
      </c>
    </row>
    <row r="4141" spans="1:10" ht="15.75" hidden="1" thickBot="1" x14ac:dyDescent="0.3">
      <c r="A4141" s="227"/>
      <c r="B4141" s="225"/>
      <c r="C4141" s="55"/>
      <c r="D4141" s="55"/>
      <c r="E4141" s="66"/>
      <c r="F4141" s="76" t="s">
        <v>572</v>
      </c>
      <c r="G4141" s="76" t="str">
        <f t="shared" si="71"/>
        <v/>
      </c>
      <c r="H4141" s="77"/>
      <c r="I4141" s="74"/>
      <c r="J4141" s="156">
        <v>0</v>
      </c>
    </row>
    <row r="4142" spans="1:10" ht="15.75" hidden="1" thickBot="1" x14ac:dyDescent="0.3">
      <c r="A4142" s="221" t="s">
        <v>1336</v>
      </c>
      <c r="B4142" s="224" t="str">
        <f>INDEX(Orçamentária!A:B,MATCH(Composições!A4142,Orçamentária!A:A,0),2)</f>
        <v>Verniz de poliuretano sobre pintura epóxi de alto desempenho</v>
      </c>
      <c r="C4142" s="41"/>
      <c r="D4142" s="26" t="str">
        <f>TRIM(INDEX(Orçamentária!C:C,MATCH(Composições!A4142,Orçamentária!A:A,0),1))</f>
        <v>m2</v>
      </c>
      <c r="E4142" s="27"/>
      <c r="F4142" s="49" t="s">
        <v>572</v>
      </c>
      <c r="G4142" s="28" t="str">
        <f t="shared" si="71"/>
        <v/>
      </c>
      <c r="H4142" s="29"/>
      <c r="I4142" s="30"/>
      <c r="J4142" s="156">
        <v>0</v>
      </c>
    </row>
    <row r="4143" spans="1:10" ht="15.75" hidden="1" thickBot="1" x14ac:dyDescent="0.3">
      <c r="A4143" s="227"/>
      <c r="B4143" s="225"/>
      <c r="C4143" s="32"/>
      <c r="D4143" s="32"/>
      <c r="E4143" s="33"/>
      <c r="F4143" s="54" t="s">
        <v>572</v>
      </c>
      <c r="G4143" s="54" t="str">
        <f t="shared" si="71"/>
        <v/>
      </c>
      <c r="H4143" s="73"/>
      <c r="I4143" s="74"/>
      <c r="J4143" s="156">
        <v>0</v>
      </c>
    </row>
    <row r="4144" spans="1:10" ht="26.25" hidden="1" thickBot="1" x14ac:dyDescent="0.3">
      <c r="A4144" s="227"/>
      <c r="B4144" s="225"/>
      <c r="C4144" s="36" t="s">
        <v>1337</v>
      </c>
      <c r="D4144" s="36" t="s">
        <v>299</v>
      </c>
      <c r="E4144" s="37">
        <v>0.4</v>
      </c>
      <c r="F4144" s="54">
        <v>0.61749999999999994</v>
      </c>
      <c r="G4144" s="54">
        <f t="shared" si="71"/>
        <v>0.247</v>
      </c>
      <c r="H4144" s="39">
        <f>SUM(G4144:G4148)</f>
        <v>19.004645500000002</v>
      </c>
      <c r="I4144" s="40"/>
      <c r="J4144" s="156">
        <v>0</v>
      </c>
    </row>
    <row r="4145" spans="1:10" ht="15.75" hidden="1" thickBot="1" x14ac:dyDescent="0.3">
      <c r="A4145" s="227"/>
      <c r="B4145" s="225"/>
      <c r="C4145" s="36" t="s">
        <v>1338</v>
      </c>
      <c r="D4145" s="36" t="s">
        <v>105</v>
      </c>
      <c r="E4145" s="37">
        <v>3.3000000000000002E-2</v>
      </c>
      <c r="F4145" s="54">
        <v>11.4285</v>
      </c>
      <c r="G4145" s="54">
        <f t="shared" si="71"/>
        <v>0.37714049999999999</v>
      </c>
      <c r="H4145" s="73"/>
      <c r="I4145" s="74"/>
      <c r="J4145" s="156">
        <v>0</v>
      </c>
    </row>
    <row r="4146" spans="1:10" ht="26.25" hidden="1" thickBot="1" x14ac:dyDescent="0.3">
      <c r="A4146" s="227"/>
      <c r="B4146" s="225"/>
      <c r="C4146" s="36" t="s">
        <v>1339</v>
      </c>
      <c r="D4146" s="36" t="s">
        <v>105</v>
      </c>
      <c r="E4146" s="37">
        <v>0.22</v>
      </c>
      <c r="F4146" s="54">
        <v>28.3765</v>
      </c>
      <c r="G4146" s="54">
        <f t="shared" si="71"/>
        <v>6.2428299999999997</v>
      </c>
      <c r="H4146" s="73"/>
      <c r="I4146" s="74"/>
      <c r="J4146" s="156">
        <v>0</v>
      </c>
    </row>
    <row r="4147" spans="1:10" ht="15.75" hidden="1" thickBot="1" x14ac:dyDescent="0.3">
      <c r="A4147" s="227"/>
      <c r="B4147" s="225"/>
      <c r="C4147" s="36" t="s">
        <v>1156</v>
      </c>
      <c r="D4147" s="36" t="s">
        <v>759</v>
      </c>
      <c r="E4147" s="37">
        <v>0.35</v>
      </c>
      <c r="F4147" s="54">
        <v>23.027999999999999</v>
      </c>
      <c r="G4147" s="54">
        <f t="shared" si="71"/>
        <v>8.0597999999999992</v>
      </c>
      <c r="H4147" s="73"/>
      <c r="I4147" s="74"/>
      <c r="J4147" s="156">
        <v>0</v>
      </c>
    </row>
    <row r="4148" spans="1:10" ht="15.75" hidden="1" thickBot="1" x14ac:dyDescent="0.3">
      <c r="A4148" s="227"/>
      <c r="B4148" s="225"/>
      <c r="C4148" s="36" t="s">
        <v>760</v>
      </c>
      <c r="D4148" s="36" t="s">
        <v>759</v>
      </c>
      <c r="E4148" s="37">
        <v>0.25</v>
      </c>
      <c r="F4148" s="54">
        <v>16.311500000000002</v>
      </c>
      <c r="G4148" s="54">
        <f t="shared" si="71"/>
        <v>4.0778750000000006</v>
      </c>
      <c r="H4148" s="73"/>
      <c r="I4148" s="74"/>
      <c r="J4148" s="156">
        <v>0</v>
      </c>
    </row>
    <row r="4149" spans="1:10" ht="15.75" hidden="1" thickBot="1" x14ac:dyDescent="0.3">
      <c r="A4149" s="228"/>
      <c r="B4149" s="226"/>
      <c r="C4149" s="55"/>
      <c r="D4149" s="55"/>
      <c r="E4149" s="66"/>
      <c r="F4149" s="76" t="s">
        <v>572</v>
      </c>
      <c r="G4149" s="76" t="str">
        <f t="shared" si="71"/>
        <v/>
      </c>
      <c r="H4149" s="77"/>
      <c r="I4149" s="74"/>
      <c r="J4149" s="156">
        <v>0</v>
      </c>
    </row>
    <row r="4150" spans="1:10" ht="15.75" hidden="1" thickBot="1" x14ac:dyDescent="0.3">
      <c r="A4150" s="221" t="s">
        <v>1340</v>
      </c>
      <c r="B4150" s="224" t="str">
        <f>INDEX(Orçamentária!A:B,MATCH(Composições!A4150,Orçamentária!A:A,0),2)</f>
        <v>Tratamento antiderrapante em verniz de poliuretano sobre pintura epóxi</v>
      </c>
      <c r="C4150" s="41"/>
      <c r="D4150" s="26" t="str">
        <f>TRIM(INDEX(Orçamentária!C:C,MATCH(Composições!A4150,Orçamentária!A:A,0),1))</f>
        <v>m2</v>
      </c>
      <c r="E4150" s="27"/>
      <c r="F4150" s="49" t="s">
        <v>572</v>
      </c>
      <c r="G4150" s="28" t="str">
        <f t="shared" si="71"/>
        <v/>
      </c>
      <c r="H4150" s="29"/>
      <c r="I4150" s="30"/>
      <c r="J4150" s="156">
        <v>0</v>
      </c>
    </row>
    <row r="4151" spans="1:10" ht="15.75" hidden="1" thickBot="1" x14ac:dyDescent="0.3">
      <c r="A4151" s="227"/>
      <c r="B4151" s="225"/>
      <c r="C4151" s="32"/>
      <c r="D4151" s="32"/>
      <c r="E4151" s="33"/>
      <c r="F4151" s="54" t="s">
        <v>572</v>
      </c>
      <c r="G4151" s="54" t="str">
        <f t="shared" si="71"/>
        <v/>
      </c>
      <c r="H4151" s="73"/>
      <c r="I4151" s="74"/>
      <c r="J4151" s="156">
        <v>0</v>
      </c>
    </row>
    <row r="4152" spans="1:10" ht="26.25" hidden="1" thickBot="1" x14ac:dyDescent="0.3">
      <c r="A4152" s="227"/>
      <c r="B4152" s="225"/>
      <c r="C4152" s="36" t="s">
        <v>1341</v>
      </c>
      <c r="D4152" s="36" t="s">
        <v>957</v>
      </c>
      <c r="E4152" s="37">
        <v>2</v>
      </c>
      <c r="F4152" s="54" t="s">
        <v>572</v>
      </c>
      <c r="G4152" s="54" t="str">
        <f t="shared" si="71"/>
        <v/>
      </c>
      <c r="H4152" s="39">
        <f>SUM(G4152:G4153)</f>
        <v>1.1254935000000001</v>
      </c>
      <c r="I4152" s="40"/>
      <c r="J4152" s="156">
        <v>0</v>
      </c>
    </row>
    <row r="4153" spans="1:10" ht="15.75" hidden="1" thickBot="1" x14ac:dyDescent="0.3">
      <c r="A4153" s="227"/>
      <c r="B4153" s="225"/>
      <c r="C4153" s="36" t="s">
        <v>760</v>
      </c>
      <c r="D4153" s="36" t="s">
        <v>759</v>
      </c>
      <c r="E4153" s="37">
        <v>6.9000000000000006E-2</v>
      </c>
      <c r="F4153" s="54">
        <v>16.311500000000002</v>
      </c>
      <c r="G4153" s="54">
        <f t="shared" si="71"/>
        <v>1.1254935000000001</v>
      </c>
      <c r="H4153" s="73"/>
      <c r="I4153" s="74"/>
      <c r="J4153" s="156">
        <v>0</v>
      </c>
    </row>
    <row r="4154" spans="1:10" ht="15.75" hidden="1" thickBot="1" x14ac:dyDescent="0.3">
      <c r="A4154" s="227"/>
      <c r="B4154" s="225"/>
      <c r="C4154" s="55"/>
      <c r="D4154" s="55"/>
      <c r="E4154" s="66"/>
      <c r="F4154" s="76" t="s">
        <v>572</v>
      </c>
      <c r="G4154" s="76" t="str">
        <f t="shared" si="71"/>
        <v/>
      </c>
      <c r="H4154" s="77"/>
      <c r="I4154" s="74"/>
      <c r="J4154" s="156">
        <v>0</v>
      </c>
    </row>
    <row r="4155" spans="1:10" ht="15.75" hidden="1" thickBot="1" x14ac:dyDescent="0.3">
      <c r="A4155" s="221" t="s">
        <v>1342</v>
      </c>
      <c r="B4155" s="224" t="str">
        <f>INDEX(Orçamentária!A:B,MATCH(Composições!A4155,Orçamentária!A:A,0),2)</f>
        <v>Pintura para superfícies galvanizadas</v>
      </c>
      <c r="C4155" s="41"/>
      <c r="D4155" s="26" t="str">
        <f>TRIM(INDEX(Orçamentária!C:C,MATCH(Composições!A4155,Orçamentária!A:A,0),1))</f>
        <v>m2</v>
      </c>
      <c r="E4155" s="27"/>
      <c r="F4155" s="49" t="s">
        <v>572</v>
      </c>
      <c r="G4155" s="28" t="str">
        <f t="shared" si="71"/>
        <v/>
      </c>
      <c r="H4155" s="29"/>
      <c r="I4155" s="30"/>
      <c r="J4155" s="156">
        <v>0</v>
      </c>
    </row>
    <row r="4156" spans="1:10" ht="15.75" hidden="1" thickBot="1" x14ac:dyDescent="0.3">
      <c r="A4156" s="227"/>
      <c r="B4156" s="225"/>
      <c r="C4156" s="32"/>
      <c r="D4156" s="32"/>
      <c r="E4156" s="33"/>
      <c r="F4156" s="54" t="s">
        <v>572</v>
      </c>
      <c r="G4156" s="54" t="str">
        <f t="shared" si="71"/>
        <v/>
      </c>
      <c r="H4156" s="73"/>
      <c r="I4156" s="74"/>
      <c r="J4156" s="156">
        <v>0</v>
      </c>
    </row>
    <row r="4157" spans="1:10" ht="15.75" hidden="1" thickBot="1" x14ac:dyDescent="0.3">
      <c r="A4157" s="227"/>
      <c r="B4157" s="225"/>
      <c r="C4157" s="36" t="s">
        <v>1338</v>
      </c>
      <c r="D4157" s="36" t="s">
        <v>105</v>
      </c>
      <c r="E4157" s="37">
        <v>6.1899999999999997E-2</v>
      </c>
      <c r="F4157" s="54">
        <v>11.4285</v>
      </c>
      <c r="G4157" s="54">
        <f t="shared" si="71"/>
        <v>0.70742414999999992</v>
      </c>
      <c r="H4157" s="39">
        <f>SUM(G4157:G4163)</f>
        <v>20.710909149999999</v>
      </c>
      <c r="I4157" s="40"/>
      <c r="J4157" s="156">
        <v>0</v>
      </c>
    </row>
    <row r="4158" spans="1:10" ht="15.75" hidden="1" thickBot="1" x14ac:dyDescent="0.3">
      <c r="A4158" s="227"/>
      <c r="B4158" s="225"/>
      <c r="C4158" s="36" t="s">
        <v>1343</v>
      </c>
      <c r="D4158" s="36" t="s">
        <v>215</v>
      </c>
      <c r="E4158" s="37">
        <v>1.15E-2</v>
      </c>
      <c r="F4158" s="54" t="s">
        <v>572</v>
      </c>
      <c r="G4158" s="54" t="str">
        <f t="shared" si="71"/>
        <v/>
      </c>
      <c r="H4158" s="73"/>
      <c r="I4158" s="74"/>
      <c r="J4158" s="156">
        <v>0</v>
      </c>
    </row>
    <row r="4159" spans="1:10" ht="15.75" hidden="1" thickBot="1" x14ac:dyDescent="0.3">
      <c r="A4159" s="227"/>
      <c r="B4159" s="225"/>
      <c r="C4159" s="36" t="s">
        <v>1156</v>
      </c>
      <c r="D4159" s="36" t="s">
        <v>759</v>
      </c>
      <c r="E4159" s="37">
        <v>0.52659999999999996</v>
      </c>
      <c r="F4159" s="54">
        <v>23.027999999999999</v>
      </c>
      <c r="G4159" s="54">
        <f t="shared" si="71"/>
        <v>12.126544799999998</v>
      </c>
      <c r="H4159" s="73"/>
      <c r="I4159" s="74"/>
      <c r="J4159" s="156">
        <v>0</v>
      </c>
    </row>
    <row r="4160" spans="1:10" ht="39" hidden="1" thickBot="1" x14ac:dyDescent="0.3">
      <c r="A4160" s="227"/>
      <c r="B4160" s="225"/>
      <c r="C4160" s="36" t="s">
        <v>1344</v>
      </c>
      <c r="D4160" s="36" t="s">
        <v>1003</v>
      </c>
      <c r="E4160" s="37">
        <v>0.37319999999999998</v>
      </c>
      <c r="F4160" s="54">
        <v>0.152</v>
      </c>
      <c r="G4160" s="54">
        <f t="shared" si="71"/>
        <v>5.6726399999999996E-2</v>
      </c>
      <c r="H4160" s="73"/>
      <c r="I4160" s="74"/>
      <c r="J4160" s="156">
        <v>0</v>
      </c>
    </row>
    <row r="4161" spans="1:10" ht="39" hidden="1" thickBot="1" x14ac:dyDescent="0.3">
      <c r="A4161" s="227"/>
      <c r="B4161" s="225"/>
      <c r="C4161" s="36" t="s">
        <v>1345</v>
      </c>
      <c r="D4161" s="36" t="s">
        <v>1001</v>
      </c>
      <c r="E4161" s="37">
        <v>0.15340000000000001</v>
      </c>
      <c r="F4161" s="54">
        <v>1.0449999999999999</v>
      </c>
      <c r="G4161" s="54">
        <f t="shared" si="71"/>
        <v>0.160303</v>
      </c>
      <c r="H4161" s="73"/>
      <c r="I4161" s="74"/>
      <c r="J4161" s="156">
        <v>0</v>
      </c>
    </row>
    <row r="4162" spans="1:10" ht="15.75" hidden="1" thickBot="1" x14ac:dyDescent="0.3">
      <c r="A4162" s="227"/>
      <c r="B4162" s="225"/>
      <c r="C4162" s="36" t="s">
        <v>1346</v>
      </c>
      <c r="D4162" s="36" t="s">
        <v>299</v>
      </c>
      <c r="E4162" s="37">
        <v>0.3</v>
      </c>
      <c r="F4162" s="54">
        <v>2.6124999999999998</v>
      </c>
      <c r="G4162" s="54">
        <f t="shared" si="71"/>
        <v>0.78374999999999995</v>
      </c>
      <c r="H4162" s="73"/>
      <c r="I4162" s="74"/>
      <c r="J4162" s="156">
        <v>0</v>
      </c>
    </row>
    <row r="4163" spans="1:10" ht="15.75" hidden="1" thickBot="1" x14ac:dyDescent="0.3">
      <c r="A4163" s="227"/>
      <c r="B4163" s="225"/>
      <c r="C4163" s="36" t="s">
        <v>1156</v>
      </c>
      <c r="D4163" s="36" t="s">
        <v>759</v>
      </c>
      <c r="E4163" s="37">
        <v>0.29859999999999998</v>
      </c>
      <c r="F4163" s="54">
        <v>23.027999999999999</v>
      </c>
      <c r="G4163" s="54">
        <f t="shared" si="71"/>
        <v>6.8761607999999992</v>
      </c>
      <c r="H4163" s="73"/>
      <c r="I4163" s="74"/>
      <c r="J4163" s="156">
        <v>0</v>
      </c>
    </row>
    <row r="4164" spans="1:10" ht="15.75" hidden="1" thickBot="1" x14ac:dyDescent="0.3">
      <c r="A4164" s="228"/>
      <c r="B4164" s="226"/>
      <c r="C4164" s="55"/>
      <c r="D4164" s="55"/>
      <c r="E4164" s="66"/>
      <c r="F4164" s="76" t="s">
        <v>572</v>
      </c>
      <c r="G4164" s="76" t="str">
        <f t="shared" si="71"/>
        <v/>
      </c>
      <c r="H4164" s="77"/>
      <c r="I4164" s="74"/>
      <c r="J4164" s="156">
        <v>0</v>
      </c>
    </row>
    <row r="4165" spans="1:10" ht="15.75" hidden="1" thickBot="1" x14ac:dyDescent="0.3">
      <c r="A4165" s="221" t="s">
        <v>1347</v>
      </c>
      <c r="B4165" s="224" t="str">
        <f>INDEX(Orçamentária!A:B,MATCH(Composições!A4165,Orçamentária!A:A,0),2)</f>
        <v>Selagem ou resselagem de juntas em pavimentação de concreto armado</v>
      </c>
      <c r="C4165" s="41"/>
      <c r="D4165" s="26" t="str">
        <f>TRIM(INDEX(Orçamentária!C:C,MATCH(Composições!A4165,Orçamentária!A:A,0),1))</f>
        <v>m</v>
      </c>
      <c r="E4165" s="27"/>
      <c r="F4165" s="49" t="s">
        <v>572</v>
      </c>
      <c r="G4165" s="28" t="str">
        <f t="shared" si="71"/>
        <v/>
      </c>
      <c r="H4165" s="29"/>
      <c r="I4165" s="30"/>
      <c r="J4165" s="156">
        <v>0</v>
      </c>
    </row>
    <row r="4166" spans="1:10" ht="15.75" hidden="1" thickBot="1" x14ac:dyDescent="0.3">
      <c r="A4166" s="227"/>
      <c r="B4166" s="225"/>
      <c r="C4166" s="32"/>
      <c r="D4166" s="32"/>
      <c r="E4166" s="33"/>
      <c r="F4166" s="54" t="s">
        <v>572</v>
      </c>
      <c r="G4166" s="54" t="str">
        <f t="shared" si="71"/>
        <v/>
      </c>
      <c r="H4166" s="73"/>
      <c r="I4166" s="74"/>
      <c r="J4166" s="156">
        <v>0</v>
      </c>
    </row>
    <row r="4167" spans="1:10" ht="15.75" hidden="1" thickBot="1" x14ac:dyDescent="0.3">
      <c r="A4167" s="227"/>
      <c r="B4167" s="225"/>
      <c r="C4167" s="36" t="s">
        <v>760</v>
      </c>
      <c r="D4167" s="36" t="s">
        <v>12</v>
      </c>
      <c r="E4167" s="37">
        <f>ROUND(4/74.7,4)</f>
        <v>5.3499999999999999E-2</v>
      </c>
      <c r="F4167" s="54">
        <v>16.311500000000002</v>
      </c>
      <c r="G4167" s="54">
        <f t="shared" si="71"/>
        <v>0.87266525000000006</v>
      </c>
      <c r="H4167" s="39">
        <f>SUM(G4167:G4172)</f>
        <v>7.8848527499999994</v>
      </c>
      <c r="I4167" s="40"/>
      <c r="J4167" s="156">
        <v>0</v>
      </c>
    </row>
    <row r="4168" spans="1:10" ht="15.75" hidden="1" thickBot="1" x14ac:dyDescent="0.3">
      <c r="A4168" s="227"/>
      <c r="B4168" s="225"/>
      <c r="C4168" s="36" t="s">
        <v>1348</v>
      </c>
      <c r="D4168" s="36" t="s">
        <v>1001</v>
      </c>
      <c r="E4168" s="37">
        <f>ROUND(1/74.7,4)</f>
        <v>1.34E-2</v>
      </c>
      <c r="F4168" s="54">
        <v>0</v>
      </c>
      <c r="G4168" s="54">
        <f t="shared" si="71"/>
        <v>0</v>
      </c>
      <c r="H4168" s="73"/>
      <c r="I4168" s="74"/>
      <c r="J4168" s="156">
        <v>0</v>
      </c>
    </row>
    <row r="4169" spans="1:10" ht="15.75" hidden="1" thickBot="1" x14ac:dyDescent="0.3">
      <c r="A4169" s="227"/>
      <c r="B4169" s="225"/>
      <c r="C4169" s="36" t="s">
        <v>1349</v>
      </c>
      <c r="D4169" s="36" t="s">
        <v>1001</v>
      </c>
      <c r="E4169" s="37">
        <f>ROUND(1/74.7,4)</f>
        <v>1.34E-2</v>
      </c>
      <c r="F4169" s="54">
        <v>0</v>
      </c>
      <c r="G4169" s="54">
        <f t="shared" si="71"/>
        <v>0</v>
      </c>
      <c r="H4169" s="73"/>
      <c r="I4169" s="74"/>
      <c r="J4169" s="156">
        <v>0</v>
      </c>
    </row>
    <row r="4170" spans="1:10" ht="15.75" hidden="1" thickBot="1" x14ac:dyDescent="0.3">
      <c r="A4170" s="227"/>
      <c r="B4170" s="225"/>
      <c r="C4170" s="36" t="s">
        <v>1350</v>
      </c>
      <c r="D4170" s="36" t="s">
        <v>94</v>
      </c>
      <c r="E4170" s="37">
        <v>1</v>
      </c>
      <c r="F4170" s="54">
        <v>0</v>
      </c>
      <c r="G4170" s="54">
        <f t="shared" si="71"/>
        <v>0</v>
      </c>
      <c r="H4170" s="73"/>
      <c r="I4170" s="74"/>
      <c r="J4170" s="156">
        <v>0</v>
      </c>
    </row>
    <row r="4171" spans="1:10" ht="15.75" hidden="1" thickBot="1" x14ac:dyDescent="0.3">
      <c r="A4171" s="227"/>
      <c r="B4171" s="225"/>
      <c r="C4171" s="36" t="s">
        <v>1351</v>
      </c>
      <c r="D4171" s="36" t="s">
        <v>299</v>
      </c>
      <c r="E4171" s="37">
        <v>3.3E-3</v>
      </c>
      <c r="F4171" s="54">
        <v>0</v>
      </c>
      <c r="G4171" s="54">
        <f t="shared" si="71"/>
        <v>0</v>
      </c>
      <c r="H4171" s="73"/>
      <c r="I4171" s="74"/>
      <c r="J4171" s="156">
        <v>0</v>
      </c>
    </row>
    <row r="4172" spans="1:10" ht="26.25" hidden="1" thickBot="1" x14ac:dyDescent="0.3">
      <c r="A4172" s="227"/>
      <c r="B4172" s="225"/>
      <c r="C4172" s="36" t="s">
        <v>1352</v>
      </c>
      <c r="D4172" s="36" t="s">
        <v>42</v>
      </c>
      <c r="E4172" s="37">
        <v>0.1181</v>
      </c>
      <c r="F4172" s="54">
        <v>59.375</v>
      </c>
      <c r="G4172" s="54">
        <f t="shared" si="71"/>
        <v>7.0121874999999996</v>
      </c>
      <c r="H4172" s="73"/>
      <c r="I4172" s="74"/>
      <c r="J4172" s="156">
        <v>0</v>
      </c>
    </row>
    <row r="4173" spans="1:10" ht="15.75" hidden="1" thickBot="1" x14ac:dyDescent="0.3">
      <c r="A4173" s="228"/>
      <c r="B4173" s="226"/>
      <c r="C4173" s="55"/>
      <c r="D4173" s="55"/>
      <c r="E4173" s="66"/>
      <c r="F4173" s="76" t="s">
        <v>572</v>
      </c>
      <c r="G4173" s="76" t="str">
        <f t="shared" si="71"/>
        <v/>
      </c>
      <c r="H4173" s="77"/>
      <c r="I4173" s="74"/>
      <c r="J4173" s="156">
        <v>0</v>
      </c>
    </row>
    <row r="4174" spans="1:10" ht="15.75" hidden="1" thickBot="1" x14ac:dyDescent="0.3">
      <c r="A4174" s="221" t="s">
        <v>1353</v>
      </c>
      <c r="B4174" s="224" t="str">
        <f>INDEX(Orçamentária!A:B,MATCH(Composições!A4174,Orçamentária!A:A,0),2)</f>
        <v>Pavimentação em elementos intertravados de concreto</v>
      </c>
      <c r="C4174" s="41"/>
      <c r="D4174" s="26" t="str">
        <f>TRIM(INDEX(Orçamentária!C:C,MATCH(Composições!A4174,Orçamentária!A:A,0),1))</f>
        <v>m2</v>
      </c>
      <c r="E4174" s="27"/>
      <c r="F4174" s="49" t="s">
        <v>572</v>
      </c>
      <c r="G4174" s="28" t="str">
        <f t="shared" si="71"/>
        <v/>
      </c>
      <c r="H4174" s="29"/>
      <c r="I4174" s="30"/>
      <c r="J4174" s="156">
        <v>0</v>
      </c>
    </row>
    <row r="4175" spans="1:10" ht="15.75" hidden="1" thickBot="1" x14ac:dyDescent="0.3">
      <c r="A4175" s="227"/>
      <c r="B4175" s="225"/>
      <c r="C4175" s="32"/>
      <c r="D4175" s="32"/>
      <c r="E4175" s="33"/>
      <c r="F4175" s="54" t="s">
        <v>572</v>
      </c>
      <c r="G4175" s="54" t="str">
        <f t="shared" si="71"/>
        <v/>
      </c>
      <c r="H4175" s="73"/>
      <c r="I4175" s="74"/>
      <c r="J4175" s="156">
        <v>0</v>
      </c>
    </row>
    <row r="4176" spans="1:10" ht="26.25" hidden="1" thickBot="1" x14ac:dyDescent="0.3">
      <c r="A4176" s="227"/>
      <c r="B4176" s="225"/>
      <c r="C4176" s="36" t="s">
        <v>809</v>
      </c>
      <c r="D4176" s="36" t="s">
        <v>124</v>
      </c>
      <c r="E4176" s="37">
        <v>5.6800000000000003E-2</v>
      </c>
      <c r="F4176" s="54">
        <v>90.25</v>
      </c>
      <c r="G4176" s="54">
        <f t="shared" si="71"/>
        <v>5.1261999999999999</v>
      </c>
      <c r="H4176" s="39">
        <f>SUM(G4176:G4186)</f>
        <v>53.751169760819977</v>
      </c>
      <c r="I4176" s="40"/>
      <c r="J4176" s="156">
        <v>0</v>
      </c>
    </row>
    <row r="4177" spans="1:10" ht="15.75" hidden="1" thickBot="1" x14ac:dyDescent="0.3">
      <c r="A4177" s="227"/>
      <c r="B4177" s="225"/>
      <c r="C4177" s="36" t="s">
        <v>1354</v>
      </c>
      <c r="D4177" s="36" t="s">
        <v>124</v>
      </c>
      <c r="E4177" s="37">
        <v>3.5999999999999999E-3</v>
      </c>
      <c r="F4177" s="54">
        <v>111.1215</v>
      </c>
      <c r="G4177" s="54">
        <f t="shared" si="71"/>
        <v>0.40003739999999999</v>
      </c>
      <c r="H4177" s="73"/>
      <c r="I4177" s="74"/>
      <c r="J4177" s="156">
        <v>0</v>
      </c>
    </row>
    <row r="4178" spans="1:10" ht="39" hidden="1" thickBot="1" x14ac:dyDescent="0.3">
      <c r="A4178" s="227"/>
      <c r="B4178" s="225"/>
      <c r="C4178" s="36" t="s">
        <v>1355</v>
      </c>
      <c r="D4178" s="36" t="s">
        <v>1053</v>
      </c>
      <c r="E4178" s="37">
        <v>1.0042</v>
      </c>
      <c r="F4178" s="54">
        <v>41.723999999999997</v>
      </c>
      <c r="G4178" s="54">
        <f t="shared" si="71"/>
        <v>41.899240799999994</v>
      </c>
      <c r="H4178" s="73"/>
      <c r="I4178" s="74"/>
      <c r="J4178" s="156">
        <v>0</v>
      </c>
    </row>
    <row r="4179" spans="1:10" ht="15.75" hidden="1" thickBot="1" x14ac:dyDescent="0.3">
      <c r="A4179" s="227"/>
      <c r="B4179" s="225"/>
      <c r="C4179" s="36" t="s">
        <v>1356</v>
      </c>
      <c r="D4179" s="36" t="s">
        <v>759</v>
      </c>
      <c r="E4179" s="37">
        <v>9.7000000000000003E-2</v>
      </c>
      <c r="F4179" s="54">
        <v>20.766999999999999</v>
      </c>
      <c r="G4179" s="54">
        <f t="shared" si="71"/>
        <v>2.0143990000000001</v>
      </c>
      <c r="H4179" s="73"/>
      <c r="I4179" s="74"/>
      <c r="J4179" s="156">
        <v>0</v>
      </c>
    </row>
    <row r="4180" spans="1:10" ht="15.75" hidden="1" thickBot="1" x14ac:dyDescent="0.3">
      <c r="A4180" s="227"/>
      <c r="B4180" s="225"/>
      <c r="C4180" s="36" t="s">
        <v>760</v>
      </c>
      <c r="D4180" s="36" t="s">
        <v>759</v>
      </c>
      <c r="E4180" s="37">
        <v>9.7000000000000003E-2</v>
      </c>
      <c r="F4180" s="54">
        <v>16.311500000000002</v>
      </c>
      <c r="G4180" s="54">
        <f t="shared" si="71"/>
        <v>1.5822155000000002</v>
      </c>
      <c r="H4180" s="73"/>
      <c r="I4180" s="74"/>
      <c r="J4180" s="156">
        <v>0</v>
      </c>
    </row>
    <row r="4181" spans="1:10" ht="39" hidden="1" thickBot="1" x14ac:dyDescent="0.3">
      <c r="A4181" s="227"/>
      <c r="B4181" s="225"/>
      <c r="C4181" s="36" t="s">
        <v>1164</v>
      </c>
      <c r="D4181" s="36" t="s">
        <v>1001</v>
      </c>
      <c r="E4181" s="37">
        <v>4.1000000000000003E-3</v>
      </c>
      <c r="F4181" s="54">
        <v>8.6449999999999996</v>
      </c>
      <c r="G4181" s="54">
        <f t="shared" si="71"/>
        <v>3.5444500000000004E-2</v>
      </c>
      <c r="H4181" s="73"/>
      <c r="I4181" s="74"/>
      <c r="J4181" s="156">
        <v>0</v>
      </c>
    </row>
    <row r="4182" spans="1:10" ht="39" hidden="1" thickBot="1" x14ac:dyDescent="0.3">
      <c r="A4182" s="227"/>
      <c r="B4182" s="225"/>
      <c r="C4182" s="36" t="s">
        <v>1357</v>
      </c>
      <c r="D4182" s="36" t="s">
        <v>1003</v>
      </c>
      <c r="E4182" s="37">
        <v>4.4400000000000002E-2</v>
      </c>
      <c r="F4182" s="54">
        <v>0.49399999999999999</v>
      </c>
      <c r="G4182" s="54">
        <f t="shared" si="71"/>
        <v>2.1933600000000001E-2</v>
      </c>
      <c r="H4182" s="73"/>
      <c r="I4182" s="74"/>
      <c r="J4182" s="156">
        <v>0</v>
      </c>
    </row>
    <row r="4183" spans="1:10" ht="51.75" hidden="1" thickBot="1" x14ac:dyDescent="0.3">
      <c r="A4183" s="227"/>
      <c r="B4183" s="225"/>
      <c r="C4183" s="36" t="s">
        <v>1358</v>
      </c>
      <c r="D4183" s="36" t="s">
        <v>1001</v>
      </c>
      <c r="E4183" s="37">
        <v>3.7000000000000002E-3</v>
      </c>
      <c r="F4183" s="54">
        <v>19.807500000000001</v>
      </c>
      <c r="G4183" s="54">
        <f t="shared" si="71"/>
        <v>7.3287750000000013E-2</v>
      </c>
      <c r="H4183" s="73"/>
      <c r="I4183" s="74"/>
      <c r="J4183" s="156">
        <v>0</v>
      </c>
    </row>
    <row r="4184" spans="1:10" ht="51.75" hidden="1" thickBot="1" x14ac:dyDescent="0.3">
      <c r="A4184" s="227"/>
      <c r="B4184" s="225"/>
      <c r="C4184" s="36" t="s">
        <v>1359</v>
      </c>
      <c r="D4184" s="36" t="s">
        <v>1003</v>
      </c>
      <c r="E4184" s="37">
        <v>4.48E-2</v>
      </c>
      <c r="F4184" s="54">
        <v>0.76</v>
      </c>
      <c r="G4184" s="54">
        <f t="shared" si="71"/>
        <v>3.4048000000000002E-2</v>
      </c>
      <c r="H4184" s="73"/>
      <c r="I4184" s="74"/>
      <c r="J4184" s="156">
        <v>0</v>
      </c>
    </row>
    <row r="4185" spans="1:10" ht="51.75" hidden="1" thickBot="1" x14ac:dyDescent="0.3">
      <c r="A4185" s="227"/>
      <c r="B4185" s="225"/>
      <c r="C4185" s="36" t="s">
        <v>3619</v>
      </c>
      <c r="D4185" s="36" t="s">
        <v>112</v>
      </c>
      <c r="E4185" s="37">
        <f>1*(E4176+E4177)</f>
        <v>6.0400000000000002E-2</v>
      </c>
      <c r="F4185" s="34">
        <v>5.5686425499999999</v>
      </c>
      <c r="G4185" s="34">
        <f t="shared" ref="G4185:G4248" si="72">IF(ISNUMBER(F4185),E4185*F4185,"")</f>
        <v>0.33634601002000003</v>
      </c>
      <c r="H4185" s="35"/>
      <c r="I4185" s="31"/>
      <c r="J4185" s="156">
        <v>0</v>
      </c>
    </row>
    <row r="4186" spans="1:10" ht="39" hidden="1" thickBot="1" x14ac:dyDescent="0.3">
      <c r="A4186" s="227"/>
      <c r="B4186" s="225"/>
      <c r="C4186" s="36" t="s">
        <v>125</v>
      </c>
      <c r="D4186" s="36" t="s">
        <v>126</v>
      </c>
      <c r="E4186" s="37">
        <f>20*(E4176+E4177)</f>
        <v>1.208</v>
      </c>
      <c r="F4186" s="54">
        <v>1.8443850999999998</v>
      </c>
      <c r="G4186" s="54">
        <f t="shared" si="72"/>
        <v>2.2280172007999997</v>
      </c>
      <c r="H4186" s="73"/>
      <c r="I4186" s="74"/>
      <c r="J4186" s="156">
        <v>0</v>
      </c>
    </row>
    <row r="4187" spans="1:10" ht="15.75" hidden="1" thickBot="1" x14ac:dyDescent="0.3">
      <c r="A4187" s="227"/>
      <c r="B4187" s="225"/>
      <c r="C4187" s="36"/>
      <c r="D4187" s="36"/>
      <c r="E4187" s="37"/>
      <c r="F4187" s="54" t="s">
        <v>572</v>
      </c>
      <c r="G4187" s="54" t="str">
        <f t="shared" si="72"/>
        <v/>
      </c>
      <c r="H4187" s="73"/>
      <c r="I4187" s="74"/>
      <c r="J4187" s="156">
        <v>0</v>
      </c>
    </row>
    <row r="4188" spans="1:10" ht="26.25" hidden="1" thickBot="1" x14ac:dyDescent="0.3">
      <c r="A4188" s="227"/>
      <c r="B4188" s="225"/>
      <c r="C4188" s="48" t="s">
        <v>1360</v>
      </c>
      <c r="D4188" s="36"/>
      <c r="E4188" s="37"/>
      <c r="F4188" s="54" t="s">
        <v>572</v>
      </c>
      <c r="G4188" s="54" t="str">
        <f t="shared" si="72"/>
        <v/>
      </c>
      <c r="H4188" s="73"/>
      <c r="I4188" s="74"/>
      <c r="J4188" s="156">
        <v>0</v>
      </c>
    </row>
    <row r="4189" spans="1:10" ht="15.75" hidden="1" thickBot="1" x14ac:dyDescent="0.3">
      <c r="A4189" s="228"/>
      <c r="B4189" s="226"/>
      <c r="C4189" s="55"/>
      <c r="D4189" s="55"/>
      <c r="E4189" s="66"/>
      <c r="F4189" s="76" t="s">
        <v>572</v>
      </c>
      <c r="G4189" s="76" t="str">
        <f t="shared" si="72"/>
        <v/>
      </c>
      <c r="H4189" s="77"/>
      <c r="I4189" s="74"/>
      <c r="J4189" s="156">
        <v>0</v>
      </c>
    </row>
    <row r="4190" spans="1:10" ht="15.75" hidden="1" thickBot="1" x14ac:dyDescent="0.3">
      <c r="A4190" s="221" t="s">
        <v>1361</v>
      </c>
      <c r="B4190" s="224" t="str">
        <f>INDEX(Orçamentária!A:B,MATCH(Composições!A4190,Orçamentária!A:A,0),2)</f>
        <v>Pavimentação com Asfalto Pré-Misturado a Frio (PMF)</v>
      </c>
      <c r="C4190" s="41"/>
      <c r="D4190" s="26" t="str">
        <f>TRIM(INDEX(Orçamentária!C:C,MATCH(Composições!A4190,Orçamentária!A:A,0),1))</f>
        <v>m3</v>
      </c>
      <c r="E4190" s="27"/>
      <c r="F4190" s="49" t="s">
        <v>572</v>
      </c>
      <c r="G4190" s="28" t="str">
        <f t="shared" si="72"/>
        <v/>
      </c>
      <c r="H4190" s="29"/>
      <c r="I4190" s="30"/>
      <c r="J4190" s="156">
        <v>0</v>
      </c>
    </row>
    <row r="4191" spans="1:10" ht="15.75" hidden="1" thickBot="1" x14ac:dyDescent="0.3">
      <c r="A4191" s="227"/>
      <c r="B4191" s="225"/>
      <c r="C4191" s="32"/>
      <c r="D4191" s="32"/>
      <c r="E4191" s="33"/>
      <c r="F4191" s="54" t="s">
        <v>572</v>
      </c>
      <c r="G4191" s="54" t="str">
        <f t="shared" si="72"/>
        <v/>
      </c>
      <c r="H4191" s="73"/>
      <c r="I4191" s="74"/>
      <c r="J4191" s="156">
        <v>0</v>
      </c>
    </row>
    <row r="4192" spans="1:10" ht="15.75" hidden="1" thickBot="1" x14ac:dyDescent="0.3">
      <c r="A4192" s="227"/>
      <c r="B4192" s="225"/>
      <c r="C4192" s="36" t="s">
        <v>760</v>
      </c>
      <c r="D4192" s="36" t="s">
        <v>759</v>
      </c>
      <c r="E4192" s="37">
        <v>0.4</v>
      </c>
      <c r="F4192" s="54">
        <v>16.311500000000002</v>
      </c>
      <c r="G4192" s="54">
        <f t="shared" si="72"/>
        <v>6.5246000000000013</v>
      </c>
      <c r="H4192" s="39">
        <f>SUM(G4192:G4213)</f>
        <v>644.32411655200008</v>
      </c>
      <c r="I4192" s="40"/>
      <c r="J4192" s="156">
        <v>0</v>
      </c>
    </row>
    <row r="4193" spans="1:10" ht="39" hidden="1" thickBot="1" x14ac:dyDescent="0.3">
      <c r="A4193" s="227"/>
      <c r="B4193" s="225"/>
      <c r="C4193" s="36" t="s">
        <v>1362</v>
      </c>
      <c r="D4193" s="36" t="s">
        <v>1003</v>
      </c>
      <c r="E4193" s="37">
        <v>6.0000000000000001E-3</v>
      </c>
      <c r="F4193" s="54">
        <v>51.841499999999996</v>
      </c>
      <c r="G4193" s="54">
        <f t="shared" si="72"/>
        <v>0.31104899999999996</v>
      </c>
      <c r="H4193" s="73"/>
      <c r="I4193" s="74"/>
      <c r="J4193" s="156">
        <v>0</v>
      </c>
    </row>
    <row r="4194" spans="1:10" ht="39" hidden="1" thickBot="1" x14ac:dyDescent="0.3">
      <c r="A4194" s="227"/>
      <c r="B4194" s="225"/>
      <c r="C4194" s="36" t="s">
        <v>1363</v>
      </c>
      <c r="D4194" s="36" t="s">
        <v>1001</v>
      </c>
      <c r="E4194" s="37">
        <v>1.0699999999999999E-2</v>
      </c>
      <c r="F4194" s="54">
        <v>133.18999999999997</v>
      </c>
      <c r="G4194" s="54">
        <f t="shared" si="72"/>
        <v>1.4251329999999995</v>
      </c>
      <c r="H4194" s="73"/>
      <c r="I4194" s="74"/>
      <c r="J4194" s="156">
        <v>0</v>
      </c>
    </row>
    <row r="4195" spans="1:10" ht="39" hidden="1" thickBot="1" x14ac:dyDescent="0.3">
      <c r="A4195" s="227"/>
      <c r="B4195" s="225"/>
      <c r="C4195" s="36" t="s">
        <v>1364</v>
      </c>
      <c r="D4195" s="36" t="s">
        <v>1001</v>
      </c>
      <c r="E4195" s="37">
        <v>6.1999999999999998E-3</v>
      </c>
      <c r="F4195" s="54">
        <v>143.33599999999998</v>
      </c>
      <c r="G4195" s="54">
        <f t="shared" si="72"/>
        <v>0.8886831999999999</v>
      </c>
      <c r="H4195" s="73"/>
      <c r="I4195" s="74"/>
      <c r="J4195" s="156">
        <v>0</v>
      </c>
    </row>
    <row r="4196" spans="1:10" ht="39" hidden="1" thickBot="1" x14ac:dyDescent="0.3">
      <c r="A4196" s="227"/>
      <c r="B4196" s="225"/>
      <c r="C4196" s="36" t="s">
        <v>1365</v>
      </c>
      <c r="D4196" s="36" t="s">
        <v>1003</v>
      </c>
      <c r="E4196" s="37">
        <v>1.0500000000000001E-2</v>
      </c>
      <c r="F4196" s="54">
        <v>48.4405</v>
      </c>
      <c r="G4196" s="54">
        <f t="shared" si="72"/>
        <v>0.50862525000000003</v>
      </c>
      <c r="H4196" s="73"/>
      <c r="I4196" s="74"/>
      <c r="J4196" s="156">
        <v>0</v>
      </c>
    </row>
    <row r="4197" spans="1:10" ht="26.25" hidden="1" thickBot="1" x14ac:dyDescent="0.3">
      <c r="A4197" s="227"/>
      <c r="B4197" s="225"/>
      <c r="C4197" s="36" t="s">
        <v>1366</v>
      </c>
      <c r="D4197" s="36" t="s">
        <v>1003</v>
      </c>
      <c r="E4197" s="37">
        <v>1.2200000000000001E-2</v>
      </c>
      <c r="F4197" s="54">
        <v>27.302999999999997</v>
      </c>
      <c r="G4197" s="54">
        <f t="shared" si="72"/>
        <v>0.33309659999999996</v>
      </c>
      <c r="H4197" s="73"/>
      <c r="I4197" s="74"/>
      <c r="J4197" s="156">
        <v>0</v>
      </c>
    </row>
    <row r="4198" spans="1:10" ht="26.25" hidden="1" thickBot="1" x14ac:dyDescent="0.3">
      <c r="A4198" s="227"/>
      <c r="B4198" s="225"/>
      <c r="C4198" s="36" t="s">
        <v>1367</v>
      </c>
      <c r="D4198" s="36" t="s">
        <v>1001</v>
      </c>
      <c r="E4198" s="37">
        <v>4.4999999999999997E-3</v>
      </c>
      <c r="F4198" s="54">
        <v>118.389</v>
      </c>
      <c r="G4198" s="54">
        <f t="shared" si="72"/>
        <v>0.5327504999999999</v>
      </c>
      <c r="H4198" s="73"/>
      <c r="I4198" s="74"/>
      <c r="J4198" s="156">
        <v>0</v>
      </c>
    </row>
    <row r="4199" spans="1:10" ht="26.25" hidden="1" thickBot="1" x14ac:dyDescent="0.3">
      <c r="A4199" s="227"/>
      <c r="B4199" s="225"/>
      <c r="C4199" s="36" t="s">
        <v>1368</v>
      </c>
      <c r="D4199" s="36" t="s">
        <v>1003</v>
      </c>
      <c r="E4199" s="37">
        <v>1.2200000000000001E-2</v>
      </c>
      <c r="F4199" s="54">
        <v>3.0969999999999995</v>
      </c>
      <c r="G4199" s="54">
        <f t="shared" si="72"/>
        <v>3.7783399999999995E-2</v>
      </c>
      <c r="H4199" s="73"/>
      <c r="I4199" s="74"/>
      <c r="J4199" s="156">
        <v>0</v>
      </c>
    </row>
    <row r="4200" spans="1:10" ht="26.25" hidden="1" thickBot="1" x14ac:dyDescent="0.3">
      <c r="A4200" s="227"/>
      <c r="B4200" s="225"/>
      <c r="C4200" s="36" t="s">
        <v>1369</v>
      </c>
      <c r="D4200" s="36" t="s">
        <v>1001</v>
      </c>
      <c r="E4200" s="37">
        <v>4.4999999999999997E-3</v>
      </c>
      <c r="F4200" s="54">
        <v>6.5074999999999994</v>
      </c>
      <c r="G4200" s="54">
        <f t="shared" si="72"/>
        <v>2.9283749999999994E-2</v>
      </c>
      <c r="H4200" s="73"/>
      <c r="I4200" s="74"/>
      <c r="J4200" s="156">
        <v>0</v>
      </c>
    </row>
    <row r="4201" spans="1:10" ht="39" hidden="1" thickBot="1" x14ac:dyDescent="0.3">
      <c r="A4201" s="227"/>
      <c r="B4201" s="225"/>
      <c r="C4201" s="36" t="s">
        <v>1370</v>
      </c>
      <c r="D4201" s="36" t="s">
        <v>1001</v>
      </c>
      <c r="E4201" s="37">
        <v>1.67E-2</v>
      </c>
      <c r="F4201" s="54">
        <v>239.79899999999998</v>
      </c>
      <c r="G4201" s="54">
        <f t="shared" si="72"/>
        <v>4.0046432999999997</v>
      </c>
      <c r="H4201" s="73"/>
      <c r="I4201" s="74"/>
      <c r="J4201" s="156">
        <v>0</v>
      </c>
    </row>
    <row r="4202" spans="1:10" ht="39" hidden="1" thickBot="1" x14ac:dyDescent="0.3">
      <c r="A4202" s="227"/>
      <c r="B4202" s="225"/>
      <c r="C4202" s="36" t="s">
        <v>1371</v>
      </c>
      <c r="D4202" s="36" t="s">
        <v>1001</v>
      </c>
      <c r="E4202" s="37">
        <v>2.7199999999999998E-2</v>
      </c>
      <c r="F4202" s="54">
        <v>174.42950000000002</v>
      </c>
      <c r="G4202" s="54">
        <f t="shared" si="72"/>
        <v>4.7444823999999999</v>
      </c>
      <c r="H4202" s="73"/>
      <c r="I4202" s="74"/>
      <c r="J4202" s="156">
        <v>0</v>
      </c>
    </row>
    <row r="4203" spans="1:10" ht="15.75" hidden="1" thickBot="1" x14ac:dyDescent="0.3">
      <c r="A4203" s="227"/>
      <c r="B4203" s="225"/>
      <c r="C4203" s="36" t="s">
        <v>760</v>
      </c>
      <c r="D4203" s="36" t="s">
        <v>759</v>
      </c>
      <c r="E4203" s="37">
        <v>0.3</v>
      </c>
      <c r="F4203" s="54">
        <v>16.311500000000002</v>
      </c>
      <c r="G4203" s="54">
        <f t="shared" si="72"/>
        <v>4.8934500000000005</v>
      </c>
      <c r="H4203" s="73"/>
      <c r="I4203" s="74"/>
      <c r="J4203" s="156">
        <v>0</v>
      </c>
    </row>
    <row r="4204" spans="1:10" ht="26.25" hidden="1" thickBot="1" x14ac:dyDescent="0.3">
      <c r="A4204" s="227"/>
      <c r="B4204" s="225"/>
      <c r="C4204" s="36" t="s">
        <v>1372</v>
      </c>
      <c r="D4204" s="36" t="s">
        <v>112</v>
      </c>
      <c r="E4204" s="37">
        <v>0.18</v>
      </c>
      <c r="F4204" s="54">
        <v>112.63199999999999</v>
      </c>
      <c r="G4204" s="54">
        <f t="shared" si="72"/>
        <v>20.273759999999999</v>
      </c>
      <c r="H4204" s="73"/>
      <c r="I4204" s="74"/>
      <c r="J4204" s="156">
        <v>0</v>
      </c>
    </row>
    <row r="4205" spans="1:10" ht="26.25" hidden="1" thickBot="1" x14ac:dyDescent="0.3">
      <c r="A4205" s="227"/>
      <c r="B4205" s="225"/>
      <c r="C4205" s="36" t="s">
        <v>814</v>
      </c>
      <c r="D4205" s="36" t="s">
        <v>112</v>
      </c>
      <c r="E4205" s="37">
        <v>1.26</v>
      </c>
      <c r="F4205" s="54">
        <v>135.81200000000001</v>
      </c>
      <c r="G4205" s="54">
        <f t="shared" si="72"/>
        <v>171.12312000000003</v>
      </c>
      <c r="H4205" s="73"/>
      <c r="I4205" s="74"/>
      <c r="J4205" s="156">
        <v>0</v>
      </c>
    </row>
    <row r="4206" spans="1:10" ht="39" hidden="1" thickBot="1" x14ac:dyDescent="0.3">
      <c r="A4206" s="227"/>
      <c r="B4206" s="225"/>
      <c r="C4206" s="36" t="s">
        <v>1373</v>
      </c>
      <c r="D4206" s="36" t="s">
        <v>1374</v>
      </c>
      <c r="E4206" s="37">
        <v>0.14000000000000001</v>
      </c>
      <c r="F4206" s="54">
        <v>2398.2559999999999</v>
      </c>
      <c r="G4206" s="54">
        <f t="shared" si="72"/>
        <v>335.75584000000003</v>
      </c>
      <c r="H4206" s="73"/>
      <c r="I4206" s="74"/>
      <c r="J4206" s="156">
        <v>0</v>
      </c>
    </row>
    <row r="4207" spans="1:10" ht="26.25" hidden="1" thickBot="1" x14ac:dyDescent="0.3">
      <c r="A4207" s="227"/>
      <c r="B4207" s="225"/>
      <c r="C4207" s="36" t="s">
        <v>1375</v>
      </c>
      <c r="D4207" s="36" t="s">
        <v>1001</v>
      </c>
      <c r="E4207" s="37">
        <v>0.05</v>
      </c>
      <c r="F4207" s="54">
        <v>115.634</v>
      </c>
      <c r="G4207" s="54">
        <f t="shared" si="72"/>
        <v>5.7817000000000007</v>
      </c>
      <c r="H4207" s="73"/>
      <c r="I4207" s="74"/>
      <c r="J4207" s="156">
        <v>0</v>
      </c>
    </row>
    <row r="4208" spans="1:10" ht="39" hidden="1" thickBot="1" x14ac:dyDescent="0.3">
      <c r="A4208" s="227"/>
      <c r="B4208" s="225"/>
      <c r="C4208" s="36" t="s">
        <v>1376</v>
      </c>
      <c r="D4208" s="36" t="s">
        <v>1001</v>
      </c>
      <c r="E4208" s="37">
        <v>2.1000000000000001E-2</v>
      </c>
      <c r="F4208" s="54">
        <v>140.30549999999999</v>
      </c>
      <c r="G4208" s="54">
        <f t="shared" si="72"/>
        <v>2.9464155000000001</v>
      </c>
      <c r="H4208" s="73"/>
      <c r="I4208" s="74"/>
      <c r="J4208" s="156">
        <v>0</v>
      </c>
    </row>
    <row r="4209" spans="1:10" ht="39" hidden="1" thickBot="1" x14ac:dyDescent="0.3">
      <c r="A4209" s="227"/>
      <c r="B4209" s="225"/>
      <c r="C4209" s="36" t="s">
        <v>1377</v>
      </c>
      <c r="D4209" s="36" t="s">
        <v>1003</v>
      </c>
      <c r="E4209" s="37">
        <v>2.9000000000000001E-2</v>
      </c>
      <c r="F4209" s="54">
        <v>53.950499999999998</v>
      </c>
      <c r="G4209" s="54">
        <f t="shared" si="72"/>
        <v>1.5645645000000001</v>
      </c>
      <c r="H4209" s="73"/>
      <c r="I4209" s="74"/>
      <c r="J4209" s="156">
        <v>0</v>
      </c>
    </row>
    <row r="4210" spans="1:10" ht="26.25" hidden="1" thickBot="1" x14ac:dyDescent="0.3">
      <c r="A4210" s="227"/>
      <c r="B4210" s="225"/>
      <c r="C4210" s="36" t="s">
        <v>1378</v>
      </c>
      <c r="D4210" s="36" t="s">
        <v>1001</v>
      </c>
      <c r="E4210" s="37">
        <v>0.05</v>
      </c>
      <c r="F4210" s="54">
        <v>115.04499999999999</v>
      </c>
      <c r="G4210" s="54">
        <f t="shared" si="72"/>
        <v>5.7522500000000001</v>
      </c>
      <c r="H4210" s="73"/>
      <c r="I4210" s="74"/>
      <c r="J4210" s="156">
        <v>0</v>
      </c>
    </row>
    <row r="4211" spans="1:10" ht="26.25" hidden="1" thickBot="1" x14ac:dyDescent="0.3">
      <c r="A4211" s="227"/>
      <c r="B4211" s="225"/>
      <c r="C4211" s="36" t="s">
        <v>1379</v>
      </c>
      <c r="D4211" s="36" t="s">
        <v>1001</v>
      </c>
      <c r="E4211" s="37">
        <v>0.1</v>
      </c>
      <c r="F4211" s="54">
        <v>157.55749999999998</v>
      </c>
      <c r="G4211" s="54">
        <f t="shared" si="72"/>
        <v>15.755749999999999</v>
      </c>
      <c r="H4211" s="73"/>
      <c r="I4211" s="74"/>
      <c r="J4211" s="156">
        <v>0</v>
      </c>
    </row>
    <row r="4212" spans="1:10" ht="51.75" hidden="1" thickBot="1" x14ac:dyDescent="0.3">
      <c r="A4212" s="227"/>
      <c r="B4212" s="225"/>
      <c r="C4212" s="36" t="s">
        <v>3619</v>
      </c>
      <c r="D4212" s="36" t="s">
        <v>112</v>
      </c>
      <c r="E4212" s="37">
        <f>1*(E4204+E4205)</f>
        <v>1.44</v>
      </c>
      <c r="F4212" s="34">
        <v>5.5686425499999999</v>
      </c>
      <c r="G4212" s="34">
        <f t="shared" si="72"/>
        <v>8.0188452720000001</v>
      </c>
      <c r="H4212" s="35"/>
      <c r="I4212" s="31"/>
      <c r="J4212" s="156">
        <v>0</v>
      </c>
    </row>
    <row r="4213" spans="1:10" ht="39" hidden="1" thickBot="1" x14ac:dyDescent="0.3">
      <c r="A4213" s="227"/>
      <c r="B4213" s="225"/>
      <c r="C4213" s="36" t="s">
        <v>125</v>
      </c>
      <c r="D4213" s="36" t="s">
        <v>126</v>
      </c>
      <c r="E4213" s="37">
        <f>20*(E4205+E4204)</f>
        <v>28.799999999999997</v>
      </c>
      <c r="F4213" s="54">
        <v>1.8443850999999998</v>
      </c>
      <c r="G4213" s="54">
        <f t="shared" si="72"/>
        <v>53.118290879999989</v>
      </c>
      <c r="H4213" s="73"/>
      <c r="I4213" s="74"/>
      <c r="J4213" s="156">
        <v>0</v>
      </c>
    </row>
    <row r="4214" spans="1:10" ht="15.75" hidden="1" thickBot="1" x14ac:dyDescent="0.3">
      <c r="A4214" s="227"/>
      <c r="B4214" s="225"/>
      <c r="C4214" s="36"/>
      <c r="D4214" s="36"/>
      <c r="E4214" s="37"/>
      <c r="F4214" s="54" t="s">
        <v>572</v>
      </c>
      <c r="G4214" s="54" t="str">
        <f t="shared" si="72"/>
        <v/>
      </c>
      <c r="H4214" s="73"/>
      <c r="I4214" s="74"/>
      <c r="J4214" s="156">
        <v>0</v>
      </c>
    </row>
    <row r="4215" spans="1:10" ht="26.25" hidden="1" thickBot="1" x14ac:dyDescent="0.3">
      <c r="A4215" s="227"/>
      <c r="B4215" s="225"/>
      <c r="C4215" s="48" t="s">
        <v>1360</v>
      </c>
      <c r="D4215" s="36"/>
      <c r="E4215" s="37"/>
      <c r="F4215" s="54" t="s">
        <v>572</v>
      </c>
      <c r="G4215" s="54" t="str">
        <f t="shared" si="72"/>
        <v/>
      </c>
      <c r="H4215" s="73"/>
      <c r="I4215" s="74"/>
      <c r="J4215" s="156">
        <v>0</v>
      </c>
    </row>
    <row r="4216" spans="1:10" ht="15.75" hidden="1" thickBot="1" x14ac:dyDescent="0.3">
      <c r="A4216" s="228"/>
      <c r="B4216" s="226"/>
      <c r="C4216" s="55"/>
      <c r="D4216" s="55"/>
      <c r="E4216" s="66"/>
      <c r="F4216" s="76" t="s">
        <v>572</v>
      </c>
      <c r="G4216" s="76" t="str">
        <f t="shared" si="72"/>
        <v/>
      </c>
      <c r="H4216" s="77"/>
      <c r="I4216" s="74"/>
      <c r="J4216" s="156">
        <v>0</v>
      </c>
    </row>
    <row r="4217" spans="1:10" ht="15.75" hidden="1" thickBot="1" x14ac:dyDescent="0.3">
      <c r="A4217" s="221" t="s">
        <v>1380</v>
      </c>
      <c r="B4217" s="224" t="str">
        <f>INDEX(Orçamentária!A:B,MATCH(Composições!A4217,Orçamentária!A:A,0),2)</f>
        <v>Pavimentação asfáltica com CBUQ para aplicação a frio (remendo)</v>
      </c>
      <c r="C4217" s="41"/>
      <c r="D4217" s="26" t="str">
        <f>TRIM(INDEX(Orçamentária!C:C,MATCH(Composições!A4217,Orçamentária!A:A,0),1))</f>
        <v>m3</v>
      </c>
      <c r="E4217" s="27"/>
      <c r="F4217" s="49" t="s">
        <v>572</v>
      </c>
      <c r="G4217" s="28" t="str">
        <f t="shared" si="72"/>
        <v/>
      </c>
      <c r="H4217" s="29"/>
      <c r="I4217" s="30"/>
      <c r="J4217" s="156">
        <v>0</v>
      </c>
    </row>
    <row r="4218" spans="1:10" ht="15.75" hidden="1" thickBot="1" x14ac:dyDescent="0.3">
      <c r="A4218" s="227"/>
      <c r="B4218" s="225"/>
      <c r="C4218" s="32"/>
      <c r="D4218" s="32"/>
      <c r="E4218" s="33"/>
      <c r="F4218" s="54" t="s">
        <v>572</v>
      </c>
      <c r="G4218" s="54" t="str">
        <f t="shared" si="72"/>
        <v/>
      </c>
      <c r="H4218" s="73"/>
      <c r="I4218" s="74"/>
      <c r="J4218" s="156">
        <v>0</v>
      </c>
    </row>
    <row r="4219" spans="1:10" ht="15.75" hidden="1" thickBot="1" x14ac:dyDescent="0.3">
      <c r="A4219" s="227"/>
      <c r="B4219" s="225"/>
      <c r="C4219" s="36" t="s">
        <v>760</v>
      </c>
      <c r="D4219" s="36" t="s">
        <v>759</v>
      </c>
      <c r="E4219" s="37">
        <f>6/0.5</f>
        <v>12</v>
      </c>
      <c r="F4219" s="54">
        <v>16.311500000000002</v>
      </c>
      <c r="G4219" s="54">
        <f t="shared" si="72"/>
        <v>195.73800000000003</v>
      </c>
      <c r="H4219" s="39">
        <f>SUM(G4219:G4222)</f>
        <v>195.73800000000003</v>
      </c>
      <c r="I4219" s="40"/>
      <c r="J4219" s="156">
        <v>0</v>
      </c>
    </row>
    <row r="4220" spans="1:10" ht="15.75" hidden="1" thickBot="1" x14ac:dyDescent="0.3">
      <c r="A4220" s="227"/>
      <c r="B4220" s="225"/>
      <c r="C4220" s="36" t="s">
        <v>1381</v>
      </c>
      <c r="D4220" s="36" t="s">
        <v>1001</v>
      </c>
      <c r="E4220" s="37">
        <f>0.2/0.5</f>
        <v>0.4</v>
      </c>
      <c r="F4220" s="54">
        <v>0</v>
      </c>
      <c r="G4220" s="54">
        <f t="shared" si="72"/>
        <v>0</v>
      </c>
      <c r="H4220" s="73"/>
      <c r="I4220" s="74"/>
      <c r="J4220" s="156">
        <v>0</v>
      </c>
    </row>
    <row r="4221" spans="1:10" ht="15.75" hidden="1" thickBot="1" x14ac:dyDescent="0.3">
      <c r="A4221" s="227"/>
      <c r="B4221" s="225"/>
      <c r="C4221" s="36" t="s">
        <v>1382</v>
      </c>
      <c r="D4221" s="36" t="s">
        <v>1003</v>
      </c>
      <c r="E4221" s="37">
        <f>0.8/0.5</f>
        <v>1.6</v>
      </c>
      <c r="F4221" s="54">
        <v>0</v>
      </c>
      <c r="G4221" s="54">
        <f t="shared" si="72"/>
        <v>0</v>
      </c>
      <c r="H4221" s="73"/>
      <c r="I4221" s="74"/>
      <c r="J4221" s="156">
        <v>0</v>
      </c>
    </row>
    <row r="4222" spans="1:10" ht="15.75" hidden="1" thickBot="1" x14ac:dyDescent="0.3">
      <c r="A4222" s="227"/>
      <c r="B4222" s="225"/>
      <c r="C4222" s="36" t="s">
        <v>1383</v>
      </c>
      <c r="D4222" s="36" t="s">
        <v>42</v>
      </c>
      <c r="E4222" s="37">
        <v>2500</v>
      </c>
      <c r="F4222" s="54" t="s">
        <v>572</v>
      </c>
      <c r="G4222" s="54" t="str">
        <f t="shared" si="72"/>
        <v/>
      </c>
      <c r="H4222" s="73"/>
      <c r="I4222" s="74"/>
      <c r="J4222" s="156">
        <v>0</v>
      </c>
    </row>
    <row r="4223" spans="1:10" ht="15.75" hidden="1" thickBot="1" x14ac:dyDescent="0.3">
      <c r="A4223" s="228"/>
      <c r="B4223" s="226"/>
      <c r="C4223" s="55"/>
      <c r="D4223" s="55"/>
      <c r="E4223" s="66"/>
      <c r="F4223" s="76" t="s">
        <v>572</v>
      </c>
      <c r="G4223" s="76" t="str">
        <f t="shared" si="72"/>
        <v/>
      </c>
      <c r="H4223" s="77"/>
      <c r="I4223" s="74"/>
      <c r="J4223" s="156">
        <v>0</v>
      </c>
    </row>
    <row r="4224" spans="1:10" ht="15.75" hidden="1" thickBot="1" x14ac:dyDescent="0.3">
      <c r="A4224" s="221" t="s">
        <v>1384</v>
      </c>
      <c r="B4224" s="224" t="str">
        <f>INDEX(Orçamentária!A:B,MATCH(Composições!A4224,Orçamentária!A:A,0),2)</f>
        <v>Pintura para sinalização e demarcação viária horizontal</v>
      </c>
      <c r="C4224" s="41"/>
      <c r="D4224" s="26" t="str">
        <f>TRIM(INDEX(Orçamentária!C:C,MATCH(Composições!A4224,Orçamentária!A:A,0),1))</f>
        <v>m2</v>
      </c>
      <c r="E4224" s="27"/>
      <c r="F4224" s="49" t="s">
        <v>572</v>
      </c>
      <c r="G4224" s="28" t="str">
        <f t="shared" si="72"/>
        <v/>
      </c>
      <c r="H4224" s="29"/>
      <c r="I4224" s="30"/>
      <c r="J4224" s="156">
        <v>0</v>
      </c>
    </row>
    <row r="4225" spans="1:10" ht="15.75" hidden="1" thickBot="1" x14ac:dyDescent="0.3">
      <c r="A4225" s="227"/>
      <c r="B4225" s="225"/>
      <c r="C4225" s="32"/>
      <c r="D4225" s="32"/>
      <c r="E4225" s="33"/>
      <c r="F4225" s="54" t="s">
        <v>572</v>
      </c>
      <c r="G4225" s="54" t="str">
        <f t="shared" si="72"/>
        <v/>
      </c>
      <c r="H4225" s="73"/>
      <c r="I4225" s="74"/>
      <c r="J4225" s="156">
        <v>0</v>
      </c>
    </row>
    <row r="4226" spans="1:10" ht="15.75" hidden="1" thickBot="1" x14ac:dyDescent="0.3">
      <c r="A4226" s="227"/>
      <c r="B4226" s="225"/>
      <c r="C4226" s="36" t="s">
        <v>1338</v>
      </c>
      <c r="D4226" s="36" t="s">
        <v>105</v>
      </c>
      <c r="E4226" s="37">
        <v>0.13</v>
      </c>
      <c r="F4226" s="54">
        <v>11.4285</v>
      </c>
      <c r="G4226" s="54">
        <f t="shared" si="72"/>
        <v>1.4857050000000001</v>
      </c>
      <c r="H4226" s="39">
        <f>SUM(G4226:G4232)</f>
        <v>15.290722150000001</v>
      </c>
      <c r="I4226" s="40"/>
      <c r="J4226" s="156">
        <v>0</v>
      </c>
    </row>
    <row r="4227" spans="1:10" ht="51.75" hidden="1" thickBot="1" x14ac:dyDescent="0.3">
      <c r="A4227" s="227"/>
      <c r="B4227" s="225"/>
      <c r="C4227" s="36" t="s">
        <v>1385</v>
      </c>
      <c r="D4227" s="36" t="s">
        <v>1001</v>
      </c>
      <c r="E4227" s="37">
        <v>3.3E-3</v>
      </c>
      <c r="F4227" s="54">
        <v>126.56849999999999</v>
      </c>
      <c r="G4227" s="54">
        <f t="shared" si="72"/>
        <v>0.41767604999999997</v>
      </c>
      <c r="H4227" s="73"/>
      <c r="I4227" s="74"/>
      <c r="J4227" s="156">
        <v>0</v>
      </c>
    </row>
    <row r="4228" spans="1:10" ht="26.25" hidden="1" thickBot="1" x14ac:dyDescent="0.3">
      <c r="A4228" s="227"/>
      <c r="B4228" s="225"/>
      <c r="C4228" s="36" t="s">
        <v>1386</v>
      </c>
      <c r="D4228" s="36" t="s">
        <v>105</v>
      </c>
      <c r="E4228" s="37">
        <v>0.6</v>
      </c>
      <c r="F4228" s="54">
        <v>14.478</v>
      </c>
      <c r="G4228" s="54">
        <f t="shared" si="72"/>
        <v>8.6867999999999999</v>
      </c>
      <c r="H4228" s="73"/>
      <c r="I4228" s="74"/>
      <c r="J4228" s="156">
        <v>0</v>
      </c>
    </row>
    <row r="4229" spans="1:10" ht="15.75" hidden="1" thickBot="1" x14ac:dyDescent="0.3">
      <c r="A4229" s="227"/>
      <c r="B4229" s="225"/>
      <c r="C4229" s="36" t="s">
        <v>1155</v>
      </c>
      <c r="D4229" s="36" t="s">
        <v>105</v>
      </c>
      <c r="E4229" s="37">
        <v>0.03</v>
      </c>
      <c r="F4229" s="54">
        <v>12.824999999999999</v>
      </c>
      <c r="G4229" s="54">
        <f t="shared" si="72"/>
        <v>0.38474999999999998</v>
      </c>
      <c r="H4229" s="73"/>
      <c r="I4229" s="74"/>
      <c r="J4229" s="156">
        <v>0</v>
      </c>
    </row>
    <row r="4230" spans="1:10" ht="26.25" hidden="1" thickBot="1" x14ac:dyDescent="0.3">
      <c r="A4230" s="227"/>
      <c r="B4230" s="225"/>
      <c r="C4230" s="36" t="s">
        <v>1387</v>
      </c>
      <c r="D4230" s="36" t="s">
        <v>957</v>
      </c>
      <c r="E4230" s="37">
        <v>0.4</v>
      </c>
      <c r="F4230" s="54">
        <v>8.5404999999999998</v>
      </c>
      <c r="G4230" s="54">
        <f t="shared" si="72"/>
        <v>3.4161999999999999</v>
      </c>
      <c r="H4230" s="73"/>
      <c r="I4230" s="74"/>
      <c r="J4230" s="156">
        <v>0</v>
      </c>
    </row>
    <row r="4231" spans="1:10" ht="15.75" hidden="1" thickBot="1" x14ac:dyDescent="0.3">
      <c r="A4231" s="227"/>
      <c r="B4231" s="225"/>
      <c r="C4231" s="36" t="s">
        <v>760</v>
      </c>
      <c r="D4231" s="36" t="s">
        <v>759</v>
      </c>
      <c r="E4231" s="37">
        <v>3.3300000000000003E-2</v>
      </c>
      <c r="F4231" s="54">
        <v>16.311500000000002</v>
      </c>
      <c r="G4231" s="54">
        <f t="shared" si="72"/>
        <v>0.5431729500000001</v>
      </c>
      <c r="H4231" s="73"/>
      <c r="I4231" s="74"/>
      <c r="J4231" s="156">
        <v>0</v>
      </c>
    </row>
    <row r="4232" spans="1:10" ht="26.25" hidden="1" thickBot="1" x14ac:dyDescent="0.3">
      <c r="A4232" s="227"/>
      <c r="B4232" s="225"/>
      <c r="C4232" s="36" t="s">
        <v>1388</v>
      </c>
      <c r="D4232" s="36" t="s">
        <v>1001</v>
      </c>
      <c r="E4232" s="37">
        <v>3.3E-3</v>
      </c>
      <c r="F4232" s="54">
        <v>108.0055</v>
      </c>
      <c r="G4232" s="54">
        <f t="shared" si="72"/>
        <v>0.35641814999999999</v>
      </c>
      <c r="H4232" s="73"/>
      <c r="I4232" s="74"/>
      <c r="J4232" s="156">
        <v>0</v>
      </c>
    </row>
    <row r="4233" spans="1:10" ht="15.75" hidden="1" thickBot="1" x14ac:dyDescent="0.3">
      <c r="A4233" s="228"/>
      <c r="B4233" s="226"/>
      <c r="C4233" s="55"/>
      <c r="D4233" s="55"/>
      <c r="E4233" s="66"/>
      <c r="F4233" s="76" t="s">
        <v>572</v>
      </c>
      <c r="G4233" s="76" t="str">
        <f t="shared" si="72"/>
        <v/>
      </c>
      <c r="H4233" s="77"/>
      <c r="I4233" s="74"/>
      <c r="J4233" s="156">
        <v>0</v>
      </c>
    </row>
    <row r="4234" spans="1:10" ht="15.75" hidden="1" thickBot="1" x14ac:dyDescent="0.3">
      <c r="A4234" s="221" t="s">
        <v>1389</v>
      </c>
      <c r="B4234" s="224" t="str">
        <f>INDEX(Orçamentária!A:B,MATCH(Composições!A4234,Orçamentária!A:A,0),2)</f>
        <v>Telha metálica trapezoidal galvanizada - GR-40</v>
      </c>
      <c r="C4234" s="41"/>
      <c r="D4234" s="26" t="str">
        <f>TRIM(INDEX(Orçamentária!C:C,MATCH(Composições!A4234,Orçamentária!A:A,0),1))</f>
        <v>m2</v>
      </c>
      <c r="E4234" s="27"/>
      <c r="F4234" s="49" t="s">
        <v>572</v>
      </c>
      <c r="G4234" s="28" t="str">
        <f t="shared" si="72"/>
        <v/>
      </c>
      <c r="H4234" s="29"/>
      <c r="I4234" s="30"/>
      <c r="J4234" s="156">
        <v>0</v>
      </c>
    </row>
    <row r="4235" spans="1:10" ht="15.75" hidden="1" thickBot="1" x14ac:dyDescent="0.3">
      <c r="A4235" s="227"/>
      <c r="B4235" s="225"/>
      <c r="C4235" s="32"/>
      <c r="D4235" s="32"/>
      <c r="E4235" s="33"/>
      <c r="F4235" s="54" t="s">
        <v>572</v>
      </c>
      <c r="G4235" s="54" t="str">
        <f t="shared" si="72"/>
        <v/>
      </c>
      <c r="H4235" s="73"/>
      <c r="I4235" s="74"/>
      <c r="J4235" s="156">
        <v>0</v>
      </c>
    </row>
    <row r="4236" spans="1:10" ht="39" hidden="1" thickBot="1" x14ac:dyDescent="0.3">
      <c r="A4236" s="227"/>
      <c r="B4236" s="225"/>
      <c r="C4236" s="36" t="s">
        <v>3481</v>
      </c>
      <c r="D4236" s="47" t="s">
        <v>1053</v>
      </c>
      <c r="E4236" s="37">
        <v>1.1659999999999999</v>
      </c>
      <c r="F4236" s="54">
        <v>58.567499999999995</v>
      </c>
      <c r="G4236" s="54">
        <f t="shared" si="72"/>
        <v>68.289704999999984</v>
      </c>
      <c r="H4236" s="39">
        <f>SUM(G4236:G4241)</f>
        <v>77.59594869999998</v>
      </c>
      <c r="I4236" s="40"/>
      <c r="J4236" s="156">
        <v>0</v>
      </c>
    </row>
    <row r="4237" spans="1:10" ht="39" hidden="1" thickBot="1" x14ac:dyDescent="0.3">
      <c r="A4237" s="227"/>
      <c r="B4237" s="225"/>
      <c r="C4237" s="36" t="s">
        <v>1390</v>
      </c>
      <c r="D4237" s="47" t="s">
        <v>797</v>
      </c>
      <c r="E4237" s="37">
        <v>4.1500000000000004</v>
      </c>
      <c r="F4237" s="54">
        <v>1.3394999999999999</v>
      </c>
      <c r="G4237" s="54">
        <f t="shared" si="72"/>
        <v>5.5589250000000003</v>
      </c>
      <c r="H4237" s="73"/>
      <c r="I4237" s="74"/>
      <c r="J4237" s="156">
        <v>0</v>
      </c>
    </row>
    <row r="4238" spans="1:10" ht="15.75" hidden="1" thickBot="1" x14ac:dyDescent="0.3">
      <c r="A4238" s="227"/>
      <c r="B4238" s="225"/>
      <c r="C4238" s="36" t="s">
        <v>760</v>
      </c>
      <c r="D4238" s="36" t="s">
        <v>759</v>
      </c>
      <c r="E4238" s="37">
        <v>9.7000000000000003E-2</v>
      </c>
      <c r="F4238" s="54">
        <v>16.311500000000002</v>
      </c>
      <c r="G4238" s="54">
        <f t="shared" si="72"/>
        <v>1.5822155000000002</v>
      </c>
      <c r="H4238" s="73"/>
      <c r="I4238" s="74"/>
      <c r="J4238" s="156">
        <v>0</v>
      </c>
    </row>
    <row r="4239" spans="1:10" ht="15.75" hidden="1" thickBot="1" x14ac:dyDescent="0.3">
      <c r="A4239" s="227"/>
      <c r="B4239" s="225"/>
      <c r="C4239" s="36" t="s">
        <v>1391</v>
      </c>
      <c r="D4239" s="36" t="s">
        <v>759</v>
      </c>
      <c r="E4239" s="37">
        <v>9.0999999999999998E-2</v>
      </c>
      <c r="F4239" s="54">
        <v>23.360499999999998</v>
      </c>
      <c r="G4239" s="54">
        <f t="shared" si="72"/>
        <v>2.1258054999999998</v>
      </c>
      <c r="H4239" s="73"/>
      <c r="I4239" s="74"/>
      <c r="J4239" s="156">
        <v>0</v>
      </c>
    </row>
    <row r="4240" spans="1:10" ht="26.25" hidden="1" thickBot="1" x14ac:dyDescent="0.3">
      <c r="A4240" s="227"/>
      <c r="B4240" s="225"/>
      <c r="C4240" s="36" t="s">
        <v>1392</v>
      </c>
      <c r="D4240" s="36" t="s">
        <v>1001</v>
      </c>
      <c r="E4240" s="37">
        <v>8.9999999999999998E-4</v>
      </c>
      <c r="F4240" s="54">
        <v>18.277999999999999</v>
      </c>
      <c r="G4240" s="54">
        <f t="shared" si="72"/>
        <v>1.6450199999999998E-2</v>
      </c>
      <c r="H4240" s="73"/>
      <c r="I4240" s="74"/>
      <c r="J4240" s="156">
        <v>0</v>
      </c>
    </row>
    <row r="4241" spans="1:10" ht="26.25" hidden="1" thickBot="1" x14ac:dyDescent="0.3">
      <c r="A4241" s="227"/>
      <c r="B4241" s="225"/>
      <c r="C4241" s="36" t="s">
        <v>1393</v>
      </c>
      <c r="D4241" s="36" t="s">
        <v>1003</v>
      </c>
      <c r="E4241" s="37">
        <v>1.2999999999999999E-3</v>
      </c>
      <c r="F4241" s="54">
        <v>17.574999999999999</v>
      </c>
      <c r="G4241" s="54">
        <f t="shared" si="72"/>
        <v>2.28475E-2</v>
      </c>
      <c r="H4241" s="73"/>
      <c r="I4241" s="74"/>
      <c r="J4241" s="156">
        <v>0</v>
      </c>
    </row>
    <row r="4242" spans="1:10" ht="15.75" hidden="1" thickBot="1" x14ac:dyDescent="0.3">
      <c r="A4242" s="228"/>
      <c r="B4242" s="226"/>
      <c r="C4242" s="55"/>
      <c r="D4242" s="55"/>
      <c r="E4242" s="66"/>
      <c r="F4242" s="76" t="s">
        <v>572</v>
      </c>
      <c r="G4242" s="76" t="str">
        <f t="shared" si="72"/>
        <v/>
      </c>
      <c r="H4242" s="77"/>
      <c r="I4242" s="74"/>
      <c r="J4242" s="156">
        <v>0</v>
      </c>
    </row>
    <row r="4243" spans="1:10" ht="15.75" hidden="1" thickBot="1" x14ac:dyDescent="0.3">
      <c r="A4243" s="221" t="s">
        <v>1394</v>
      </c>
      <c r="B4243" s="224" t="str">
        <f>INDEX(Orçamentária!A:B,MATCH(Composições!A4243,Orçamentária!A:A,0),2)</f>
        <v>Cumeeira para telha metálica trapezoidal galvanizada - GR-40</v>
      </c>
      <c r="C4243" s="41"/>
      <c r="D4243" s="26" t="str">
        <f>TRIM(INDEX(Orçamentária!C:C,MATCH(Composições!A4243,Orçamentária!A:A,0),1))</f>
        <v>m</v>
      </c>
      <c r="E4243" s="27"/>
      <c r="F4243" s="49" t="s">
        <v>572</v>
      </c>
      <c r="G4243" s="28" t="str">
        <f t="shared" si="72"/>
        <v/>
      </c>
      <c r="H4243" s="29"/>
      <c r="I4243" s="30"/>
      <c r="J4243" s="156">
        <v>0</v>
      </c>
    </row>
    <row r="4244" spans="1:10" ht="15.75" hidden="1" thickBot="1" x14ac:dyDescent="0.3">
      <c r="A4244" s="227"/>
      <c r="B4244" s="225"/>
      <c r="C4244" s="32"/>
      <c r="D4244" s="32"/>
      <c r="E4244" s="33"/>
      <c r="F4244" s="54" t="s">
        <v>572</v>
      </c>
      <c r="G4244" s="54" t="str">
        <f t="shared" si="72"/>
        <v/>
      </c>
      <c r="H4244" s="73"/>
      <c r="I4244" s="74"/>
      <c r="J4244" s="156">
        <v>0</v>
      </c>
    </row>
    <row r="4245" spans="1:10" ht="39" hidden="1" thickBot="1" x14ac:dyDescent="0.3">
      <c r="A4245" s="227"/>
      <c r="B4245" s="225"/>
      <c r="C4245" s="36" t="s">
        <v>1390</v>
      </c>
      <c r="D4245" s="47" t="s">
        <v>797</v>
      </c>
      <c r="E4245" s="37">
        <v>4.1500000000000004</v>
      </c>
      <c r="F4245" s="54">
        <v>1.3394999999999999</v>
      </c>
      <c r="G4245" s="54">
        <f t="shared" si="72"/>
        <v>5.5589250000000003</v>
      </c>
      <c r="H4245" s="39">
        <f>SUM(G4245:G4250)</f>
        <v>8.2298899000000016</v>
      </c>
      <c r="I4245" s="40"/>
      <c r="J4245" s="156">
        <v>0</v>
      </c>
    </row>
    <row r="4246" spans="1:10" ht="15.75" hidden="1" thickBot="1" x14ac:dyDescent="0.3">
      <c r="A4246" s="227"/>
      <c r="B4246" s="225"/>
      <c r="C4246" s="36" t="s">
        <v>3631</v>
      </c>
      <c r="D4246" s="36" t="s">
        <v>94</v>
      </c>
      <c r="E4246" s="37">
        <v>1.0289999999999999</v>
      </c>
      <c r="F4246" s="54" t="s">
        <v>572</v>
      </c>
      <c r="G4246" s="54" t="str">
        <f t="shared" si="72"/>
        <v/>
      </c>
      <c r="H4246" s="73"/>
      <c r="I4246" s="74"/>
      <c r="J4246" s="156">
        <v>0</v>
      </c>
    </row>
    <row r="4247" spans="1:10" ht="15.75" hidden="1" thickBot="1" x14ac:dyDescent="0.3">
      <c r="A4247" s="227"/>
      <c r="B4247" s="225"/>
      <c r="C4247" s="36" t="s">
        <v>760</v>
      </c>
      <c r="D4247" s="36" t="s">
        <v>759</v>
      </c>
      <c r="E4247" s="37">
        <v>7.2999999999999995E-2</v>
      </c>
      <c r="F4247" s="54">
        <v>16.311500000000002</v>
      </c>
      <c r="G4247" s="54">
        <f t="shared" si="72"/>
        <v>1.1907395000000001</v>
      </c>
      <c r="H4247" s="73"/>
      <c r="I4247" s="74"/>
      <c r="J4247" s="156">
        <v>0</v>
      </c>
    </row>
    <row r="4248" spans="1:10" ht="15.75" hidden="1" thickBot="1" x14ac:dyDescent="0.3">
      <c r="A4248" s="227"/>
      <c r="B4248" s="225"/>
      <c r="C4248" s="36" t="s">
        <v>1391</v>
      </c>
      <c r="D4248" s="36" t="s">
        <v>759</v>
      </c>
      <c r="E4248" s="37">
        <v>0.06</v>
      </c>
      <c r="F4248" s="54">
        <v>23.360499999999998</v>
      </c>
      <c r="G4248" s="54">
        <f t="shared" si="72"/>
        <v>1.4016299999999999</v>
      </c>
      <c r="H4248" s="73"/>
      <c r="I4248" s="74"/>
      <c r="J4248" s="156">
        <v>0</v>
      </c>
    </row>
    <row r="4249" spans="1:10" ht="26.25" hidden="1" thickBot="1" x14ac:dyDescent="0.3">
      <c r="A4249" s="227"/>
      <c r="B4249" s="225"/>
      <c r="C4249" s="36" t="s">
        <v>1392</v>
      </c>
      <c r="D4249" s="36" t="s">
        <v>1001</v>
      </c>
      <c r="E4249" s="37">
        <v>1.8E-3</v>
      </c>
      <c r="F4249" s="54">
        <v>18.277999999999999</v>
      </c>
      <c r="G4249" s="54">
        <f t="shared" ref="G4249:G4312" si="73">IF(ISNUMBER(F4249),E4249*F4249,"")</f>
        <v>3.2900399999999996E-2</v>
      </c>
      <c r="H4249" s="73"/>
      <c r="I4249" s="74"/>
      <c r="J4249" s="156">
        <v>0</v>
      </c>
    </row>
    <row r="4250" spans="1:10" ht="26.25" hidden="1" thickBot="1" x14ac:dyDescent="0.3">
      <c r="A4250" s="227"/>
      <c r="B4250" s="225"/>
      <c r="C4250" s="36" t="s">
        <v>1393</v>
      </c>
      <c r="D4250" s="36" t="s">
        <v>1003</v>
      </c>
      <c r="E4250" s="37">
        <v>2.5999999999999999E-3</v>
      </c>
      <c r="F4250" s="54">
        <v>17.574999999999999</v>
      </c>
      <c r="G4250" s="54">
        <f t="shared" si="73"/>
        <v>4.5695E-2</v>
      </c>
      <c r="H4250" s="73"/>
      <c r="I4250" s="74"/>
      <c r="J4250" s="156">
        <v>0</v>
      </c>
    </row>
    <row r="4251" spans="1:10" ht="15.75" hidden="1" thickBot="1" x14ac:dyDescent="0.3">
      <c r="A4251" s="228"/>
      <c r="B4251" s="226"/>
      <c r="C4251" s="55"/>
      <c r="D4251" s="55"/>
      <c r="E4251" s="66"/>
      <c r="F4251" s="76" t="s">
        <v>572</v>
      </c>
      <c r="G4251" s="76" t="str">
        <f t="shared" si="73"/>
        <v/>
      </c>
      <c r="H4251" s="77"/>
      <c r="I4251" s="74"/>
      <c r="J4251" s="156">
        <v>0</v>
      </c>
    </row>
    <row r="4252" spans="1:10" ht="15.75" hidden="1" thickBot="1" x14ac:dyDescent="0.3">
      <c r="A4252" s="221" t="s">
        <v>1395</v>
      </c>
      <c r="B4252" s="224" t="str">
        <f>INDEX(Orçamentária!A:B,MATCH(Composições!A4252,Orçamentária!A:A,0),2)</f>
        <v>Telha metálica trapezoidal galvanizada - GR-25</v>
      </c>
      <c r="C4252" s="41"/>
      <c r="D4252" s="26" t="str">
        <f>TRIM(INDEX(Orçamentária!C:C,MATCH(Composições!A4252,Orçamentária!A:A,0),1))</f>
        <v>m2</v>
      </c>
      <c r="E4252" s="27"/>
      <c r="F4252" s="49" t="s">
        <v>572</v>
      </c>
      <c r="G4252" s="28" t="str">
        <f t="shared" si="73"/>
        <v/>
      </c>
      <c r="H4252" s="29"/>
      <c r="I4252" s="30"/>
      <c r="J4252" s="156">
        <v>0</v>
      </c>
    </row>
    <row r="4253" spans="1:10" ht="15.75" hidden="1" thickBot="1" x14ac:dyDescent="0.3">
      <c r="A4253" s="227"/>
      <c r="B4253" s="225"/>
      <c r="C4253" s="32"/>
      <c r="D4253" s="32"/>
      <c r="E4253" s="33"/>
      <c r="F4253" s="54" t="s">
        <v>572</v>
      </c>
      <c r="G4253" s="54" t="str">
        <f t="shared" si="73"/>
        <v/>
      </c>
      <c r="H4253" s="73"/>
      <c r="I4253" s="74"/>
      <c r="J4253" s="156">
        <v>0</v>
      </c>
    </row>
    <row r="4254" spans="1:10" ht="26.25" hidden="1" thickBot="1" x14ac:dyDescent="0.3">
      <c r="A4254" s="227"/>
      <c r="B4254" s="225"/>
      <c r="C4254" s="36" t="s">
        <v>1396</v>
      </c>
      <c r="D4254" s="47" t="s">
        <v>1053</v>
      </c>
      <c r="E4254" s="37">
        <v>1.1659999999999999</v>
      </c>
      <c r="F4254" s="54" t="s">
        <v>572</v>
      </c>
      <c r="G4254" s="54" t="str">
        <f t="shared" si="73"/>
        <v/>
      </c>
      <c r="H4254" s="39">
        <f>SUM(G4254:G4259)</f>
        <v>9.3062436999999996</v>
      </c>
      <c r="I4254" s="40"/>
      <c r="J4254" s="156">
        <v>0</v>
      </c>
    </row>
    <row r="4255" spans="1:10" ht="39" hidden="1" thickBot="1" x14ac:dyDescent="0.3">
      <c r="A4255" s="227"/>
      <c r="B4255" s="225"/>
      <c r="C4255" s="36" t="s">
        <v>1390</v>
      </c>
      <c r="D4255" s="47" t="s">
        <v>797</v>
      </c>
      <c r="E4255" s="37">
        <v>4.1500000000000004</v>
      </c>
      <c r="F4255" s="54">
        <v>1.3394999999999999</v>
      </c>
      <c r="G4255" s="54">
        <f t="shared" si="73"/>
        <v>5.5589250000000003</v>
      </c>
      <c r="H4255" s="73"/>
      <c r="I4255" s="74"/>
      <c r="J4255" s="156">
        <v>0</v>
      </c>
    </row>
    <row r="4256" spans="1:10" ht="15.75" hidden="1" thickBot="1" x14ac:dyDescent="0.3">
      <c r="A4256" s="227"/>
      <c r="B4256" s="225"/>
      <c r="C4256" s="36" t="s">
        <v>760</v>
      </c>
      <c r="D4256" s="36" t="s">
        <v>759</v>
      </c>
      <c r="E4256" s="37">
        <v>9.7000000000000003E-2</v>
      </c>
      <c r="F4256" s="54">
        <v>16.311500000000002</v>
      </c>
      <c r="G4256" s="54">
        <f t="shared" si="73"/>
        <v>1.5822155000000002</v>
      </c>
      <c r="H4256" s="73"/>
      <c r="I4256" s="74"/>
      <c r="J4256" s="156">
        <v>0</v>
      </c>
    </row>
    <row r="4257" spans="1:10" ht="15.75" hidden="1" thickBot="1" x14ac:dyDescent="0.3">
      <c r="A4257" s="227"/>
      <c r="B4257" s="225"/>
      <c r="C4257" s="36" t="s">
        <v>1391</v>
      </c>
      <c r="D4257" s="36" t="s">
        <v>759</v>
      </c>
      <c r="E4257" s="37">
        <v>9.0999999999999998E-2</v>
      </c>
      <c r="F4257" s="54">
        <v>23.360499999999998</v>
      </c>
      <c r="G4257" s="54">
        <f t="shared" si="73"/>
        <v>2.1258054999999998</v>
      </c>
      <c r="H4257" s="73"/>
      <c r="I4257" s="74"/>
      <c r="J4257" s="156">
        <v>0</v>
      </c>
    </row>
    <row r="4258" spans="1:10" ht="26.25" hidden="1" thickBot="1" x14ac:dyDescent="0.3">
      <c r="A4258" s="227"/>
      <c r="B4258" s="225"/>
      <c r="C4258" s="36" t="s">
        <v>1392</v>
      </c>
      <c r="D4258" s="36" t="s">
        <v>1001</v>
      </c>
      <c r="E4258" s="37">
        <v>8.9999999999999998E-4</v>
      </c>
      <c r="F4258" s="54">
        <v>18.277999999999999</v>
      </c>
      <c r="G4258" s="54">
        <f t="shared" si="73"/>
        <v>1.6450199999999998E-2</v>
      </c>
      <c r="H4258" s="73"/>
      <c r="I4258" s="74"/>
      <c r="J4258" s="156">
        <v>0</v>
      </c>
    </row>
    <row r="4259" spans="1:10" ht="26.25" hidden="1" thickBot="1" x14ac:dyDescent="0.3">
      <c r="A4259" s="227"/>
      <c r="B4259" s="225"/>
      <c r="C4259" s="36" t="s">
        <v>1393</v>
      </c>
      <c r="D4259" s="36" t="s">
        <v>1003</v>
      </c>
      <c r="E4259" s="37">
        <v>1.2999999999999999E-3</v>
      </c>
      <c r="F4259" s="54">
        <v>17.574999999999999</v>
      </c>
      <c r="G4259" s="54">
        <f t="shared" si="73"/>
        <v>2.28475E-2</v>
      </c>
      <c r="H4259" s="73"/>
      <c r="I4259" s="74"/>
      <c r="J4259" s="156">
        <v>0</v>
      </c>
    </row>
    <row r="4260" spans="1:10" ht="15.75" hidden="1" thickBot="1" x14ac:dyDescent="0.3">
      <c r="A4260" s="228"/>
      <c r="B4260" s="226"/>
      <c r="C4260" s="55"/>
      <c r="D4260" s="55"/>
      <c r="E4260" s="66"/>
      <c r="F4260" s="76" t="s">
        <v>572</v>
      </c>
      <c r="G4260" s="76" t="str">
        <f t="shared" si="73"/>
        <v/>
      </c>
      <c r="H4260" s="77"/>
      <c r="I4260" s="74"/>
      <c r="J4260" s="156">
        <v>0</v>
      </c>
    </row>
    <row r="4261" spans="1:10" ht="15.75" hidden="1" thickBot="1" x14ac:dyDescent="0.3">
      <c r="A4261" s="221" t="s">
        <v>1397</v>
      </c>
      <c r="B4261" s="224" t="str">
        <f>INDEX(Orçamentária!A:B,MATCH(Composições!A4261,Orçamentária!A:A,0),2)</f>
        <v>Cumeeira para telha metálica trapezoidal galvanizada - GR-25</v>
      </c>
      <c r="C4261" s="41"/>
      <c r="D4261" s="26" t="str">
        <f>TRIM(INDEX(Orçamentária!C:C,MATCH(Composições!A4261,Orçamentária!A:A,0),1))</f>
        <v>m</v>
      </c>
      <c r="E4261" s="27"/>
      <c r="F4261" s="49" t="s">
        <v>572</v>
      </c>
      <c r="G4261" s="28" t="str">
        <f t="shared" si="73"/>
        <v/>
      </c>
      <c r="H4261" s="29"/>
      <c r="I4261" s="30"/>
      <c r="J4261" s="156">
        <v>0</v>
      </c>
    </row>
    <row r="4262" spans="1:10" ht="15.75" hidden="1" thickBot="1" x14ac:dyDescent="0.3">
      <c r="A4262" s="227"/>
      <c r="B4262" s="225"/>
      <c r="C4262" s="32"/>
      <c r="D4262" s="32"/>
      <c r="E4262" s="33"/>
      <c r="F4262" s="54" t="s">
        <v>572</v>
      </c>
      <c r="G4262" s="54" t="str">
        <f t="shared" si="73"/>
        <v/>
      </c>
      <c r="H4262" s="73"/>
      <c r="I4262" s="74"/>
      <c r="J4262" s="156">
        <v>0</v>
      </c>
    </row>
    <row r="4263" spans="1:10" ht="39" hidden="1" thickBot="1" x14ac:dyDescent="0.3">
      <c r="A4263" s="227"/>
      <c r="B4263" s="225"/>
      <c r="C4263" s="36" t="s">
        <v>1390</v>
      </c>
      <c r="D4263" s="47" t="s">
        <v>797</v>
      </c>
      <c r="E4263" s="37">
        <v>4.1500000000000004</v>
      </c>
      <c r="F4263" s="54">
        <v>1.3394999999999999</v>
      </c>
      <c r="G4263" s="54">
        <f t="shared" si="73"/>
        <v>5.5589250000000003</v>
      </c>
      <c r="H4263" s="39">
        <f>SUM(G4263:G4268)</f>
        <v>8.2298899000000016</v>
      </c>
      <c r="I4263" s="40"/>
      <c r="J4263" s="156">
        <v>0</v>
      </c>
    </row>
    <row r="4264" spans="1:10" ht="15.75" hidden="1" thickBot="1" x14ac:dyDescent="0.3">
      <c r="A4264" s="227"/>
      <c r="B4264" s="225"/>
      <c r="C4264" s="36" t="s">
        <v>3630</v>
      </c>
      <c r="D4264" s="36" t="s">
        <v>94</v>
      </c>
      <c r="E4264" s="37">
        <v>1.0289999999999999</v>
      </c>
      <c r="F4264" s="54" t="s">
        <v>572</v>
      </c>
      <c r="G4264" s="54" t="str">
        <f t="shared" si="73"/>
        <v/>
      </c>
      <c r="H4264" s="73"/>
      <c r="I4264" s="74"/>
      <c r="J4264" s="156">
        <v>0</v>
      </c>
    </row>
    <row r="4265" spans="1:10" ht="15.75" hidden="1" thickBot="1" x14ac:dyDescent="0.3">
      <c r="A4265" s="227"/>
      <c r="B4265" s="225"/>
      <c r="C4265" s="36" t="s">
        <v>760</v>
      </c>
      <c r="D4265" s="36" t="s">
        <v>759</v>
      </c>
      <c r="E4265" s="37">
        <v>7.2999999999999995E-2</v>
      </c>
      <c r="F4265" s="54">
        <v>16.311500000000002</v>
      </c>
      <c r="G4265" s="54">
        <f t="shared" si="73"/>
        <v>1.1907395000000001</v>
      </c>
      <c r="H4265" s="73"/>
      <c r="I4265" s="74"/>
      <c r="J4265" s="156">
        <v>0</v>
      </c>
    </row>
    <row r="4266" spans="1:10" ht="15.75" hidden="1" thickBot="1" x14ac:dyDescent="0.3">
      <c r="A4266" s="227"/>
      <c r="B4266" s="225"/>
      <c r="C4266" s="36" t="s">
        <v>1391</v>
      </c>
      <c r="D4266" s="36" t="s">
        <v>759</v>
      </c>
      <c r="E4266" s="37">
        <v>0.06</v>
      </c>
      <c r="F4266" s="54">
        <v>23.360499999999998</v>
      </c>
      <c r="G4266" s="54">
        <f t="shared" si="73"/>
        <v>1.4016299999999999</v>
      </c>
      <c r="H4266" s="73"/>
      <c r="I4266" s="74"/>
      <c r="J4266" s="156">
        <v>0</v>
      </c>
    </row>
    <row r="4267" spans="1:10" ht="26.25" hidden="1" thickBot="1" x14ac:dyDescent="0.3">
      <c r="A4267" s="227"/>
      <c r="B4267" s="225"/>
      <c r="C4267" s="36" t="s">
        <v>1392</v>
      </c>
      <c r="D4267" s="36" t="s">
        <v>1001</v>
      </c>
      <c r="E4267" s="37">
        <v>1.8E-3</v>
      </c>
      <c r="F4267" s="54">
        <v>18.277999999999999</v>
      </c>
      <c r="G4267" s="54">
        <f t="shared" si="73"/>
        <v>3.2900399999999996E-2</v>
      </c>
      <c r="H4267" s="73"/>
      <c r="I4267" s="74"/>
      <c r="J4267" s="156">
        <v>0</v>
      </c>
    </row>
    <row r="4268" spans="1:10" ht="26.25" hidden="1" thickBot="1" x14ac:dyDescent="0.3">
      <c r="A4268" s="227"/>
      <c r="B4268" s="225"/>
      <c r="C4268" s="36" t="s">
        <v>1393</v>
      </c>
      <c r="D4268" s="36" t="s">
        <v>1003</v>
      </c>
      <c r="E4268" s="37">
        <v>2.5999999999999999E-3</v>
      </c>
      <c r="F4268" s="54">
        <v>17.574999999999999</v>
      </c>
      <c r="G4268" s="54">
        <f t="shared" si="73"/>
        <v>4.5695E-2</v>
      </c>
      <c r="H4268" s="73"/>
      <c r="I4268" s="74"/>
      <c r="J4268" s="156">
        <v>0</v>
      </c>
    </row>
    <row r="4269" spans="1:10" ht="15.75" hidden="1" thickBot="1" x14ac:dyDescent="0.3">
      <c r="A4269" s="228"/>
      <c r="B4269" s="226"/>
      <c r="C4269" s="55"/>
      <c r="D4269" s="55"/>
      <c r="E4269" s="66"/>
      <c r="F4269" s="76" t="s">
        <v>572</v>
      </c>
      <c r="G4269" s="76" t="str">
        <f t="shared" si="73"/>
        <v/>
      </c>
      <c r="H4269" s="77"/>
      <c r="I4269" s="74"/>
      <c r="J4269" s="156">
        <v>0</v>
      </c>
    </row>
    <row r="4270" spans="1:10" ht="15.75" hidden="1" thickBot="1" x14ac:dyDescent="0.3">
      <c r="A4270" s="221" t="s">
        <v>1398</v>
      </c>
      <c r="B4270" s="224" t="str">
        <f>INDEX(Orçamentária!A:B,MATCH(Composições!A4270,Orçamentária!A:A,0),2)</f>
        <v>Telha de fibrocimento modulada - espessura 8mm</v>
      </c>
      <c r="C4270" s="41"/>
      <c r="D4270" s="26" t="str">
        <f>TRIM(INDEX(Orçamentária!C:C,MATCH(Composições!A4270,Orçamentária!A:A,0),1))</f>
        <v>m2</v>
      </c>
      <c r="E4270" s="27"/>
      <c r="F4270" s="49" t="s">
        <v>572</v>
      </c>
      <c r="G4270" s="28" t="str">
        <f t="shared" si="73"/>
        <v/>
      </c>
      <c r="H4270" s="29"/>
      <c r="I4270" s="30"/>
      <c r="J4270" s="156">
        <v>0</v>
      </c>
    </row>
    <row r="4271" spans="1:10" ht="15.75" hidden="1" thickBot="1" x14ac:dyDescent="0.3">
      <c r="A4271" s="227"/>
      <c r="B4271" s="225"/>
      <c r="C4271" s="32"/>
      <c r="D4271" s="32"/>
      <c r="E4271" s="33"/>
      <c r="F4271" s="54" t="s">
        <v>572</v>
      </c>
      <c r="G4271" s="54" t="str">
        <f t="shared" si="73"/>
        <v/>
      </c>
      <c r="H4271" s="73"/>
      <c r="I4271" s="74"/>
      <c r="J4271" s="156">
        <v>0</v>
      </c>
    </row>
    <row r="4272" spans="1:10" ht="15.75" hidden="1" thickBot="1" x14ac:dyDescent="0.3">
      <c r="A4272" s="227"/>
      <c r="B4272" s="225"/>
      <c r="C4272" s="36" t="s">
        <v>1391</v>
      </c>
      <c r="D4272" s="36" t="s">
        <v>12</v>
      </c>
      <c r="E4272" s="37">
        <v>0.3</v>
      </c>
      <c r="F4272" s="54">
        <v>23.360499999999998</v>
      </c>
      <c r="G4272" s="54">
        <f t="shared" si="73"/>
        <v>7.0081499999999997</v>
      </c>
      <c r="H4272" s="39">
        <f>SUM(G4272:G4278)</f>
        <v>16.79505</v>
      </c>
      <c r="I4272" s="40"/>
      <c r="J4272" s="156">
        <v>0</v>
      </c>
    </row>
    <row r="4273" spans="1:10" ht="15.75" hidden="1" thickBot="1" x14ac:dyDescent="0.3">
      <c r="A4273" s="227"/>
      <c r="B4273" s="225"/>
      <c r="C4273" s="36" t="s">
        <v>760</v>
      </c>
      <c r="D4273" s="36" t="s">
        <v>12</v>
      </c>
      <c r="E4273" s="37">
        <v>0.6</v>
      </c>
      <c r="F4273" s="54">
        <v>16.311500000000002</v>
      </c>
      <c r="G4273" s="54">
        <f t="shared" si="73"/>
        <v>9.786900000000001</v>
      </c>
      <c r="H4273" s="73"/>
      <c r="I4273" s="74"/>
      <c r="J4273" s="156">
        <v>0</v>
      </c>
    </row>
    <row r="4274" spans="1:10" ht="15.75" hidden="1" thickBot="1" x14ac:dyDescent="0.3">
      <c r="A4274" s="227"/>
      <c r="B4274" s="225"/>
      <c r="C4274" s="36" t="s">
        <v>1399</v>
      </c>
      <c r="D4274" s="36" t="s">
        <v>299</v>
      </c>
      <c r="E4274" s="37">
        <v>1.1100000000000001</v>
      </c>
      <c r="F4274" s="54">
        <v>0</v>
      </c>
      <c r="G4274" s="54">
        <f t="shared" si="73"/>
        <v>0</v>
      </c>
      <c r="H4274" s="73"/>
      <c r="I4274" s="74"/>
      <c r="J4274" s="156">
        <v>0</v>
      </c>
    </row>
    <row r="4275" spans="1:10" ht="15.75" hidden="1" thickBot="1" x14ac:dyDescent="0.3">
      <c r="A4275" s="227"/>
      <c r="B4275" s="225"/>
      <c r="C4275" s="36" t="s">
        <v>1400</v>
      </c>
      <c r="D4275" s="36" t="s">
        <v>96</v>
      </c>
      <c r="E4275" s="37">
        <v>1.24</v>
      </c>
      <c r="F4275" s="54">
        <v>0</v>
      </c>
      <c r="G4275" s="54">
        <f t="shared" si="73"/>
        <v>0</v>
      </c>
      <c r="H4275" s="73"/>
      <c r="I4275" s="74"/>
      <c r="J4275" s="156">
        <v>0</v>
      </c>
    </row>
    <row r="4276" spans="1:10" ht="26.25" hidden="1" thickBot="1" x14ac:dyDescent="0.3">
      <c r="A4276" s="227"/>
      <c r="B4276" s="225"/>
      <c r="C4276" s="36" t="s">
        <v>1401</v>
      </c>
      <c r="D4276" s="36" t="s">
        <v>299</v>
      </c>
      <c r="E4276" s="37">
        <v>1.1100000000000001</v>
      </c>
      <c r="F4276" s="54">
        <v>0</v>
      </c>
      <c r="G4276" s="54">
        <f t="shared" si="73"/>
        <v>0</v>
      </c>
      <c r="H4276" s="73"/>
      <c r="I4276" s="74"/>
      <c r="J4276" s="156">
        <v>0</v>
      </c>
    </row>
    <row r="4277" spans="1:10" ht="15.75" hidden="1" thickBot="1" x14ac:dyDescent="0.3">
      <c r="A4277" s="227"/>
      <c r="B4277" s="225"/>
      <c r="C4277" s="36" t="s">
        <v>1402</v>
      </c>
      <c r="D4277" s="36" t="s">
        <v>299</v>
      </c>
      <c r="E4277" s="37">
        <v>1</v>
      </c>
      <c r="F4277" s="54">
        <v>0</v>
      </c>
      <c r="G4277" s="54">
        <f t="shared" si="73"/>
        <v>0</v>
      </c>
      <c r="H4277" s="73"/>
      <c r="I4277" s="74"/>
      <c r="J4277" s="156">
        <v>0</v>
      </c>
    </row>
    <row r="4278" spans="1:10" ht="15.75" hidden="1" thickBot="1" x14ac:dyDescent="0.3">
      <c r="A4278" s="227"/>
      <c r="B4278" s="225"/>
      <c r="C4278" s="36" t="s">
        <v>1403</v>
      </c>
      <c r="D4278" s="36" t="s">
        <v>299</v>
      </c>
      <c r="E4278" s="37">
        <v>1.1100000000000001</v>
      </c>
      <c r="F4278" s="54">
        <v>0</v>
      </c>
      <c r="G4278" s="54">
        <f t="shared" si="73"/>
        <v>0</v>
      </c>
      <c r="H4278" s="73"/>
      <c r="I4278" s="74"/>
      <c r="J4278" s="156">
        <v>0</v>
      </c>
    </row>
    <row r="4279" spans="1:10" ht="15.75" hidden="1" thickBot="1" x14ac:dyDescent="0.3">
      <c r="A4279" s="228"/>
      <c r="B4279" s="226"/>
      <c r="C4279" s="55"/>
      <c r="D4279" s="55"/>
      <c r="E4279" s="66"/>
      <c r="F4279" s="76" t="s">
        <v>572</v>
      </c>
      <c r="G4279" s="76" t="str">
        <f t="shared" si="73"/>
        <v/>
      </c>
      <c r="H4279" s="77"/>
      <c r="I4279" s="74"/>
      <c r="J4279" s="156">
        <v>0</v>
      </c>
    </row>
    <row r="4280" spans="1:10" ht="15.75" hidden="1" thickBot="1" x14ac:dyDescent="0.3">
      <c r="A4280" s="221" t="s">
        <v>1404</v>
      </c>
      <c r="B4280" s="224" t="str">
        <f>INDEX(Orçamentária!A:B,MATCH(Composições!A4280,Orçamentária!A:A,0),2)</f>
        <v>Cumeeira articulada ABA SUPERIOR de fibrocimento para telha modulada - espessura 6 mm</v>
      </c>
      <c r="C4280" s="41"/>
      <c r="D4280" s="26" t="str">
        <f>TRIM(INDEX(Orçamentária!C:C,MATCH(Composições!A4280,Orçamentária!A:A,0),1))</f>
        <v>m</v>
      </c>
      <c r="E4280" s="27"/>
      <c r="F4280" s="49" t="s">
        <v>572</v>
      </c>
      <c r="G4280" s="28" t="str">
        <f t="shared" si="73"/>
        <v/>
      </c>
      <c r="H4280" s="29"/>
      <c r="I4280" s="30"/>
      <c r="J4280" s="156">
        <v>0</v>
      </c>
    </row>
    <row r="4281" spans="1:10" ht="15.75" hidden="1" thickBot="1" x14ac:dyDescent="0.3">
      <c r="A4281" s="227"/>
      <c r="B4281" s="225"/>
      <c r="C4281" s="32"/>
      <c r="D4281" s="32"/>
      <c r="E4281" s="33"/>
      <c r="F4281" s="54" t="s">
        <v>572</v>
      </c>
      <c r="G4281" s="54" t="str">
        <f t="shared" si="73"/>
        <v/>
      </c>
      <c r="H4281" s="73"/>
      <c r="I4281" s="74"/>
      <c r="J4281" s="156">
        <v>0</v>
      </c>
    </row>
    <row r="4282" spans="1:10" ht="15.75" hidden="1" thickBot="1" x14ac:dyDescent="0.3">
      <c r="A4282" s="227"/>
      <c r="B4282" s="225"/>
      <c r="C4282" s="36" t="s">
        <v>1391</v>
      </c>
      <c r="D4282" s="36" t="s">
        <v>12</v>
      </c>
      <c r="E4282" s="37">
        <f>0.12/2</f>
        <v>0.06</v>
      </c>
      <c r="F4282" s="54">
        <v>23.360499999999998</v>
      </c>
      <c r="G4282" s="54">
        <f t="shared" si="73"/>
        <v>1.4016299999999999</v>
      </c>
      <c r="H4282" s="39">
        <f>SUM(G4282:G4286)</f>
        <v>2.3803200000000002</v>
      </c>
      <c r="I4282" s="40"/>
      <c r="J4282" s="156">
        <v>0</v>
      </c>
    </row>
    <row r="4283" spans="1:10" ht="15.75" hidden="1" thickBot="1" x14ac:dyDescent="0.3">
      <c r="A4283" s="227"/>
      <c r="B4283" s="225"/>
      <c r="C4283" s="36" t="s">
        <v>760</v>
      </c>
      <c r="D4283" s="36" t="s">
        <v>12</v>
      </c>
      <c r="E4283" s="37">
        <f>0.12/2</f>
        <v>0.06</v>
      </c>
      <c r="F4283" s="54">
        <v>16.311500000000002</v>
      </c>
      <c r="G4283" s="54">
        <f t="shared" si="73"/>
        <v>0.97869000000000006</v>
      </c>
      <c r="H4283" s="73"/>
      <c r="I4283" s="74"/>
      <c r="J4283" s="156">
        <v>0</v>
      </c>
    </row>
    <row r="4284" spans="1:10" ht="15.75" hidden="1" thickBot="1" x14ac:dyDescent="0.3">
      <c r="A4284" s="227"/>
      <c r="B4284" s="225"/>
      <c r="C4284" s="36" t="s">
        <v>1399</v>
      </c>
      <c r="D4284" s="36" t="s">
        <v>299</v>
      </c>
      <c r="E4284" s="37">
        <f>4.12/2</f>
        <v>2.06</v>
      </c>
      <c r="F4284" s="54">
        <v>0</v>
      </c>
      <c r="G4284" s="54">
        <f t="shared" si="73"/>
        <v>0</v>
      </c>
      <c r="H4284" s="73"/>
      <c r="I4284" s="74"/>
      <c r="J4284" s="156">
        <v>0</v>
      </c>
    </row>
    <row r="4285" spans="1:10" ht="26.25" hidden="1" thickBot="1" x14ac:dyDescent="0.3">
      <c r="A4285" s="227"/>
      <c r="B4285" s="225"/>
      <c r="C4285" s="36" t="s">
        <v>1405</v>
      </c>
      <c r="D4285" s="36" t="s">
        <v>299</v>
      </c>
      <c r="E4285" s="37">
        <v>2.06</v>
      </c>
      <c r="F4285" s="54">
        <v>0</v>
      </c>
      <c r="G4285" s="54">
        <f t="shared" si="73"/>
        <v>0</v>
      </c>
      <c r="H4285" s="73"/>
      <c r="I4285" s="74"/>
      <c r="J4285" s="156">
        <v>0</v>
      </c>
    </row>
    <row r="4286" spans="1:10" ht="15.75" hidden="1" thickBot="1" x14ac:dyDescent="0.3">
      <c r="A4286" s="227"/>
      <c r="B4286" s="225"/>
      <c r="C4286" s="36" t="s">
        <v>1403</v>
      </c>
      <c r="D4286" s="36" t="s">
        <v>299</v>
      </c>
      <c r="E4286" s="37">
        <f>4.12/2</f>
        <v>2.06</v>
      </c>
      <c r="F4286" s="54">
        <v>0</v>
      </c>
      <c r="G4286" s="54">
        <f t="shared" si="73"/>
        <v>0</v>
      </c>
      <c r="H4286" s="73"/>
      <c r="I4286" s="74"/>
      <c r="J4286" s="156">
        <v>0</v>
      </c>
    </row>
    <row r="4287" spans="1:10" ht="15.75" hidden="1" thickBot="1" x14ac:dyDescent="0.3">
      <c r="A4287" s="228"/>
      <c r="B4287" s="226"/>
      <c r="C4287" s="55"/>
      <c r="D4287" s="55"/>
      <c r="E4287" s="66"/>
      <c r="F4287" s="76" t="s">
        <v>572</v>
      </c>
      <c r="G4287" s="76" t="str">
        <f t="shared" si="73"/>
        <v/>
      </c>
      <c r="H4287" s="77"/>
      <c r="I4287" s="74"/>
      <c r="J4287" s="156">
        <v>0</v>
      </c>
    </row>
    <row r="4288" spans="1:10" ht="15.75" hidden="1" thickBot="1" x14ac:dyDescent="0.3">
      <c r="A4288" s="221" t="s">
        <v>1406</v>
      </c>
      <c r="B4288" s="224" t="str">
        <f>INDEX(Orçamentária!A:B,MATCH(Composições!A4288,Orçamentária!A:A,0),2)</f>
        <v>Cumeeira articulada ABA INFERIOR de fibrocimento para telha modulada - espessura 6 mm</v>
      </c>
      <c r="C4288" s="41"/>
      <c r="D4288" s="26" t="str">
        <f>TRIM(INDEX(Orçamentária!C:C,MATCH(Composições!A4288,Orçamentária!A:A,0),1))</f>
        <v>m</v>
      </c>
      <c r="E4288" s="27"/>
      <c r="F4288" s="49" t="s">
        <v>572</v>
      </c>
      <c r="G4288" s="28" t="str">
        <f t="shared" si="73"/>
        <v/>
      </c>
      <c r="H4288" s="29"/>
      <c r="I4288" s="30"/>
      <c r="J4288" s="156">
        <v>0</v>
      </c>
    </row>
    <row r="4289" spans="1:10" ht="15.75" hidden="1" thickBot="1" x14ac:dyDescent="0.3">
      <c r="A4289" s="227"/>
      <c r="B4289" s="225"/>
      <c r="C4289" s="32"/>
      <c r="D4289" s="32"/>
      <c r="E4289" s="33"/>
      <c r="F4289" s="54" t="s">
        <v>572</v>
      </c>
      <c r="G4289" s="54" t="str">
        <f t="shared" si="73"/>
        <v/>
      </c>
      <c r="H4289" s="73"/>
      <c r="I4289" s="74"/>
      <c r="J4289" s="156">
        <v>0</v>
      </c>
    </row>
    <row r="4290" spans="1:10" ht="15.75" hidden="1" thickBot="1" x14ac:dyDescent="0.3">
      <c r="A4290" s="227"/>
      <c r="B4290" s="225"/>
      <c r="C4290" s="36" t="s">
        <v>1391</v>
      </c>
      <c r="D4290" s="36" t="s">
        <v>12</v>
      </c>
      <c r="E4290" s="37">
        <f>0.12/2</f>
        <v>0.06</v>
      </c>
      <c r="F4290" s="54">
        <v>23.360499999999998</v>
      </c>
      <c r="G4290" s="54">
        <f t="shared" si="73"/>
        <v>1.4016299999999999</v>
      </c>
      <c r="H4290" s="39">
        <f>SUM(G4290:G4294)</f>
        <v>2.3803200000000002</v>
      </c>
      <c r="I4290" s="40"/>
      <c r="J4290" s="156">
        <v>0</v>
      </c>
    </row>
    <row r="4291" spans="1:10" ht="15.75" hidden="1" thickBot="1" x14ac:dyDescent="0.3">
      <c r="A4291" s="227"/>
      <c r="B4291" s="225"/>
      <c r="C4291" s="36" t="s">
        <v>760</v>
      </c>
      <c r="D4291" s="36" t="s">
        <v>12</v>
      </c>
      <c r="E4291" s="37">
        <f>0.12/2</f>
        <v>0.06</v>
      </c>
      <c r="F4291" s="54">
        <v>16.311500000000002</v>
      </c>
      <c r="G4291" s="54">
        <f t="shared" si="73"/>
        <v>0.97869000000000006</v>
      </c>
      <c r="H4291" s="73"/>
      <c r="I4291" s="74"/>
      <c r="J4291" s="156">
        <v>0</v>
      </c>
    </row>
    <row r="4292" spans="1:10" ht="15.75" hidden="1" thickBot="1" x14ac:dyDescent="0.3">
      <c r="A4292" s="227"/>
      <c r="B4292" s="225"/>
      <c r="C4292" s="36" t="s">
        <v>1399</v>
      </c>
      <c r="D4292" s="36" t="s">
        <v>299</v>
      </c>
      <c r="E4292" s="37">
        <f>4.12/2</f>
        <v>2.06</v>
      </c>
      <c r="F4292" s="54">
        <v>0</v>
      </c>
      <c r="G4292" s="54">
        <f t="shared" si="73"/>
        <v>0</v>
      </c>
      <c r="H4292" s="73"/>
      <c r="I4292" s="74"/>
      <c r="J4292" s="156">
        <v>0</v>
      </c>
    </row>
    <row r="4293" spans="1:10" ht="26.25" hidden="1" thickBot="1" x14ac:dyDescent="0.3">
      <c r="A4293" s="227"/>
      <c r="B4293" s="225"/>
      <c r="C4293" s="36" t="s">
        <v>1407</v>
      </c>
      <c r="D4293" s="36" t="s">
        <v>299</v>
      </c>
      <c r="E4293" s="37">
        <v>2.06</v>
      </c>
      <c r="F4293" s="54">
        <v>0</v>
      </c>
      <c r="G4293" s="54">
        <f t="shared" si="73"/>
        <v>0</v>
      </c>
      <c r="H4293" s="73"/>
      <c r="I4293" s="74"/>
      <c r="J4293" s="156">
        <v>0</v>
      </c>
    </row>
    <row r="4294" spans="1:10" ht="15.75" hidden="1" thickBot="1" x14ac:dyDescent="0.3">
      <c r="A4294" s="227"/>
      <c r="B4294" s="225"/>
      <c r="C4294" s="36" t="s">
        <v>1403</v>
      </c>
      <c r="D4294" s="36" t="s">
        <v>299</v>
      </c>
      <c r="E4294" s="37">
        <f>4.12/2</f>
        <v>2.06</v>
      </c>
      <c r="F4294" s="54">
        <v>0</v>
      </c>
      <c r="G4294" s="54">
        <f t="shared" si="73"/>
        <v>0</v>
      </c>
      <c r="H4294" s="73"/>
      <c r="I4294" s="74"/>
      <c r="J4294" s="156">
        <v>0</v>
      </c>
    </row>
    <row r="4295" spans="1:10" ht="15.75" hidden="1" thickBot="1" x14ac:dyDescent="0.3">
      <c r="A4295" s="228"/>
      <c r="B4295" s="226"/>
      <c r="C4295" s="55"/>
      <c r="D4295" s="55"/>
      <c r="E4295" s="66"/>
      <c r="F4295" s="76" t="s">
        <v>572</v>
      </c>
      <c r="G4295" s="76" t="str">
        <f t="shared" si="73"/>
        <v/>
      </c>
      <c r="H4295" s="77"/>
      <c r="I4295" s="74"/>
      <c r="J4295" s="156">
        <v>0</v>
      </c>
    </row>
    <row r="4296" spans="1:10" ht="15.75" hidden="1" thickBot="1" x14ac:dyDescent="0.3">
      <c r="A4296" s="221" t="s">
        <v>1408</v>
      </c>
      <c r="B4296" s="224" t="str">
        <f>INDEX(Orçamentária!A:B,MATCH(Composições!A4296,Orçamentária!A:A,0),2)</f>
        <v>Telha de fibrocimento ondulada - espessura 6mm</v>
      </c>
      <c r="C4296" s="41"/>
      <c r="D4296" s="26" t="str">
        <f>TRIM(INDEX(Orçamentária!C:C,MATCH(Composições!A4296,Orçamentária!A:A,0),1))</f>
        <v>m2</v>
      </c>
      <c r="E4296" s="27"/>
      <c r="F4296" s="49" t="s">
        <v>572</v>
      </c>
      <c r="G4296" s="28" t="str">
        <f t="shared" si="73"/>
        <v/>
      </c>
      <c r="H4296" s="29"/>
      <c r="I4296" s="30"/>
      <c r="J4296" s="156">
        <v>0</v>
      </c>
    </row>
    <row r="4297" spans="1:10" ht="15.75" hidden="1" thickBot="1" x14ac:dyDescent="0.3">
      <c r="A4297" s="227"/>
      <c r="B4297" s="225"/>
      <c r="C4297" s="32"/>
      <c r="D4297" s="32"/>
      <c r="E4297" s="33"/>
      <c r="F4297" s="54" t="s">
        <v>572</v>
      </c>
      <c r="G4297" s="54" t="str">
        <f t="shared" si="73"/>
        <v/>
      </c>
      <c r="H4297" s="73"/>
      <c r="I4297" s="74"/>
      <c r="J4297" s="156">
        <v>0</v>
      </c>
    </row>
    <row r="4298" spans="1:10" ht="39" hidden="1" thickBot="1" x14ac:dyDescent="0.3">
      <c r="A4298" s="227"/>
      <c r="B4298" s="225"/>
      <c r="C4298" s="36" t="s">
        <v>1409</v>
      </c>
      <c r="D4298" s="47" t="s">
        <v>797</v>
      </c>
      <c r="E4298" s="37">
        <v>1.27</v>
      </c>
      <c r="F4298" s="54">
        <v>0.18049999999999999</v>
      </c>
      <c r="G4298" s="54">
        <f t="shared" si="73"/>
        <v>0.22923499999999999</v>
      </c>
      <c r="H4298" s="39">
        <f>SUM(G4298:G4304)</f>
        <v>39.864137499999998</v>
      </c>
      <c r="I4298" s="40"/>
      <c r="J4298" s="156">
        <v>0</v>
      </c>
    </row>
    <row r="4299" spans="1:10" ht="26.25" hidden="1" thickBot="1" x14ac:dyDescent="0.3">
      <c r="A4299" s="227"/>
      <c r="B4299" s="225"/>
      <c r="C4299" s="36" t="s">
        <v>1410</v>
      </c>
      <c r="D4299" s="36" t="s">
        <v>299</v>
      </c>
      <c r="E4299" s="37">
        <v>1.27</v>
      </c>
      <c r="F4299" s="54">
        <v>2.7075</v>
      </c>
      <c r="G4299" s="54">
        <f t="shared" si="73"/>
        <v>3.4385250000000003</v>
      </c>
      <c r="H4299" s="73"/>
      <c r="I4299" s="74"/>
      <c r="J4299" s="156">
        <v>0</v>
      </c>
    </row>
    <row r="4300" spans="1:10" ht="26.25" hidden="1" thickBot="1" x14ac:dyDescent="0.3">
      <c r="A4300" s="227"/>
      <c r="B4300" s="225"/>
      <c r="C4300" s="36" t="s">
        <v>1411</v>
      </c>
      <c r="D4300" s="36" t="s">
        <v>1053</v>
      </c>
      <c r="E4300" s="37">
        <v>1.2749999999999999</v>
      </c>
      <c r="F4300" s="54">
        <v>24.196499999999997</v>
      </c>
      <c r="G4300" s="54">
        <f t="shared" si="73"/>
        <v>30.850537499999994</v>
      </c>
      <c r="H4300" s="73"/>
      <c r="I4300" s="74"/>
      <c r="J4300" s="156">
        <v>0</v>
      </c>
    </row>
    <row r="4301" spans="1:10" ht="15.75" hidden="1" thickBot="1" x14ac:dyDescent="0.3">
      <c r="A4301" s="227"/>
      <c r="B4301" s="225"/>
      <c r="C4301" s="36" t="s">
        <v>760</v>
      </c>
      <c r="D4301" s="36" t="s">
        <v>759</v>
      </c>
      <c r="E4301" s="37">
        <v>0.15</v>
      </c>
      <c r="F4301" s="54">
        <v>16.311500000000002</v>
      </c>
      <c r="G4301" s="54">
        <f t="shared" si="73"/>
        <v>2.4467250000000003</v>
      </c>
      <c r="H4301" s="73"/>
      <c r="I4301" s="74"/>
      <c r="J4301" s="156">
        <v>0</v>
      </c>
    </row>
    <row r="4302" spans="1:10" ht="15.75" hidden="1" thickBot="1" x14ac:dyDescent="0.3">
      <c r="A4302" s="227"/>
      <c r="B4302" s="225"/>
      <c r="C4302" s="36" t="s">
        <v>1391</v>
      </c>
      <c r="D4302" s="36" t="s">
        <v>759</v>
      </c>
      <c r="E4302" s="37">
        <v>0.115</v>
      </c>
      <c r="F4302" s="54">
        <v>23.360499999999998</v>
      </c>
      <c r="G4302" s="54">
        <f t="shared" si="73"/>
        <v>2.6864574999999999</v>
      </c>
      <c r="H4302" s="73"/>
      <c r="I4302" s="74"/>
      <c r="J4302" s="156">
        <v>0</v>
      </c>
    </row>
    <row r="4303" spans="1:10" ht="26.25" hidden="1" thickBot="1" x14ac:dyDescent="0.3">
      <c r="A4303" s="227"/>
      <c r="B4303" s="225"/>
      <c r="C4303" s="36" t="s">
        <v>1392</v>
      </c>
      <c r="D4303" s="36" t="s">
        <v>1001</v>
      </c>
      <c r="E4303" s="37">
        <v>5.0000000000000001E-3</v>
      </c>
      <c r="F4303" s="54">
        <v>18.277999999999999</v>
      </c>
      <c r="G4303" s="54">
        <f t="shared" si="73"/>
        <v>9.1389999999999999E-2</v>
      </c>
      <c r="H4303" s="73"/>
      <c r="I4303" s="74"/>
      <c r="J4303" s="156">
        <v>0</v>
      </c>
    </row>
    <row r="4304" spans="1:10" ht="26.25" hidden="1" thickBot="1" x14ac:dyDescent="0.3">
      <c r="A4304" s="227"/>
      <c r="B4304" s="225"/>
      <c r="C4304" s="36" t="s">
        <v>1393</v>
      </c>
      <c r="D4304" s="36" t="s">
        <v>1003</v>
      </c>
      <c r="E4304" s="37">
        <v>6.8999999999999999E-3</v>
      </c>
      <c r="F4304" s="54">
        <v>17.574999999999999</v>
      </c>
      <c r="G4304" s="54">
        <f t="shared" si="73"/>
        <v>0.12126749999999999</v>
      </c>
      <c r="H4304" s="73"/>
      <c r="I4304" s="74"/>
      <c r="J4304" s="156">
        <v>0</v>
      </c>
    </row>
    <row r="4305" spans="1:10" ht="15.75" hidden="1" thickBot="1" x14ac:dyDescent="0.3">
      <c r="A4305" s="228"/>
      <c r="B4305" s="226"/>
      <c r="C4305" s="55"/>
      <c r="D4305" s="55"/>
      <c r="E4305" s="66"/>
      <c r="F4305" s="76" t="s">
        <v>572</v>
      </c>
      <c r="G4305" s="76" t="str">
        <f t="shared" si="73"/>
        <v/>
      </c>
      <c r="H4305" s="77"/>
      <c r="I4305" s="74"/>
      <c r="J4305" s="156">
        <v>0</v>
      </c>
    </row>
    <row r="4306" spans="1:10" ht="15.75" hidden="1" thickBot="1" x14ac:dyDescent="0.3">
      <c r="A4306" s="221" t="s">
        <v>1412</v>
      </c>
      <c r="B4306" s="224" t="str">
        <f>INDEX(Orçamentária!A:B,MATCH(Composições!A4306,Orçamentária!A:A,0),2)</f>
        <v>Cumeeira UNIVERSAL para telha de fibrocimento ondulada - espessura 6 mm</v>
      </c>
      <c r="C4306" s="41"/>
      <c r="D4306" s="26" t="str">
        <f>TRIM(INDEX(Orçamentária!C:C,MATCH(Composições!A4306,Orçamentária!A:A,0),1))</f>
        <v>m</v>
      </c>
      <c r="E4306" s="27"/>
      <c r="F4306" s="49" t="s">
        <v>572</v>
      </c>
      <c r="G4306" s="28" t="str">
        <f t="shared" si="73"/>
        <v/>
      </c>
      <c r="H4306" s="29"/>
      <c r="I4306" s="30"/>
      <c r="J4306" s="156">
        <v>0</v>
      </c>
    </row>
    <row r="4307" spans="1:10" ht="15.75" hidden="1" thickBot="1" x14ac:dyDescent="0.3">
      <c r="A4307" s="227"/>
      <c r="B4307" s="225"/>
      <c r="C4307" s="32"/>
      <c r="D4307" s="32"/>
      <c r="E4307" s="33"/>
      <c r="F4307" s="54" t="s">
        <v>572</v>
      </c>
      <c r="G4307" s="54" t="str">
        <f t="shared" si="73"/>
        <v/>
      </c>
      <c r="H4307" s="73"/>
      <c r="I4307" s="74"/>
      <c r="J4307" s="156">
        <v>0</v>
      </c>
    </row>
    <row r="4308" spans="1:10" ht="39" hidden="1" thickBot="1" x14ac:dyDescent="0.3">
      <c r="A4308" s="227"/>
      <c r="B4308" s="225"/>
      <c r="C4308" s="36" t="s">
        <v>1409</v>
      </c>
      <c r="D4308" s="47" t="s">
        <v>797</v>
      </c>
      <c r="E4308" s="37">
        <v>4.2</v>
      </c>
      <c r="F4308" s="54">
        <v>0.18049999999999999</v>
      </c>
      <c r="G4308" s="54">
        <f t="shared" si="73"/>
        <v>0.7581</v>
      </c>
      <c r="H4308" s="39">
        <f>SUM(G4308:G4314)</f>
        <v>50.168323899999997</v>
      </c>
      <c r="I4308" s="40"/>
      <c r="J4308" s="156">
        <v>0</v>
      </c>
    </row>
    <row r="4309" spans="1:10" ht="26.25" hidden="1" thickBot="1" x14ac:dyDescent="0.3">
      <c r="A4309" s="227"/>
      <c r="B4309" s="225"/>
      <c r="C4309" s="36" t="s">
        <v>1410</v>
      </c>
      <c r="D4309" s="36" t="s">
        <v>299</v>
      </c>
      <c r="E4309" s="37">
        <v>4.2</v>
      </c>
      <c r="F4309" s="54">
        <v>2.7075</v>
      </c>
      <c r="G4309" s="54">
        <f t="shared" si="73"/>
        <v>11.371500000000001</v>
      </c>
      <c r="H4309" s="73"/>
      <c r="I4309" s="74"/>
      <c r="J4309" s="156">
        <v>0</v>
      </c>
    </row>
    <row r="4310" spans="1:10" ht="26.25" hidden="1" thickBot="1" x14ac:dyDescent="0.3">
      <c r="A4310" s="227"/>
      <c r="B4310" s="225"/>
      <c r="C4310" s="36" t="s">
        <v>1413</v>
      </c>
      <c r="D4310" s="36" t="s">
        <v>299</v>
      </c>
      <c r="E4310" s="37">
        <v>1.0289999999999999</v>
      </c>
      <c r="F4310" s="54">
        <v>34.370999999999995</v>
      </c>
      <c r="G4310" s="54">
        <f t="shared" si="73"/>
        <v>35.367758999999992</v>
      </c>
      <c r="H4310" s="73"/>
      <c r="I4310" s="74"/>
      <c r="J4310" s="156">
        <v>0</v>
      </c>
    </row>
    <row r="4311" spans="1:10" ht="15.75" hidden="1" thickBot="1" x14ac:dyDescent="0.3">
      <c r="A4311" s="227"/>
      <c r="B4311" s="225"/>
      <c r="C4311" s="36" t="s">
        <v>760</v>
      </c>
      <c r="D4311" s="36" t="s">
        <v>759</v>
      </c>
      <c r="E4311" s="37">
        <v>7.2999999999999995E-2</v>
      </c>
      <c r="F4311" s="54">
        <v>16.311500000000002</v>
      </c>
      <c r="G4311" s="54">
        <f t="shared" si="73"/>
        <v>1.1907395000000001</v>
      </c>
      <c r="H4311" s="73"/>
      <c r="I4311" s="74"/>
      <c r="J4311" s="156">
        <v>0</v>
      </c>
    </row>
    <row r="4312" spans="1:10" ht="15.75" hidden="1" thickBot="1" x14ac:dyDescent="0.3">
      <c r="A4312" s="227"/>
      <c r="B4312" s="225"/>
      <c r="C4312" s="36" t="s">
        <v>1391</v>
      </c>
      <c r="D4312" s="36" t="s">
        <v>759</v>
      </c>
      <c r="E4312" s="37">
        <v>0.06</v>
      </c>
      <c r="F4312" s="54">
        <v>23.360499999999998</v>
      </c>
      <c r="G4312" s="54">
        <f t="shared" si="73"/>
        <v>1.4016299999999999</v>
      </c>
      <c r="H4312" s="73"/>
      <c r="I4312" s="74"/>
      <c r="J4312" s="156">
        <v>0</v>
      </c>
    </row>
    <row r="4313" spans="1:10" ht="26.25" hidden="1" thickBot="1" x14ac:dyDescent="0.3">
      <c r="A4313" s="227"/>
      <c r="B4313" s="225"/>
      <c r="C4313" s="36" t="s">
        <v>1392</v>
      </c>
      <c r="D4313" s="36" t="s">
        <v>1001</v>
      </c>
      <c r="E4313" s="37">
        <v>1.8E-3</v>
      </c>
      <c r="F4313" s="54">
        <v>18.277999999999999</v>
      </c>
      <c r="G4313" s="54">
        <f t="shared" ref="G4313:G4376" si="74">IF(ISNUMBER(F4313),E4313*F4313,"")</f>
        <v>3.2900399999999996E-2</v>
      </c>
      <c r="H4313" s="73"/>
      <c r="I4313" s="74"/>
      <c r="J4313" s="156">
        <v>0</v>
      </c>
    </row>
    <row r="4314" spans="1:10" ht="26.25" hidden="1" thickBot="1" x14ac:dyDescent="0.3">
      <c r="A4314" s="227"/>
      <c r="B4314" s="225"/>
      <c r="C4314" s="36" t="s">
        <v>1393</v>
      </c>
      <c r="D4314" s="36" t="s">
        <v>1003</v>
      </c>
      <c r="E4314" s="37">
        <v>2.5999999999999999E-3</v>
      </c>
      <c r="F4314" s="54">
        <v>17.574999999999999</v>
      </c>
      <c r="G4314" s="54">
        <f t="shared" si="74"/>
        <v>4.5695E-2</v>
      </c>
      <c r="H4314" s="73"/>
      <c r="I4314" s="74"/>
      <c r="J4314" s="156">
        <v>0</v>
      </c>
    </row>
    <row r="4315" spans="1:10" ht="15.75" hidden="1" thickBot="1" x14ac:dyDescent="0.3">
      <c r="A4315" s="228"/>
      <c r="B4315" s="226"/>
      <c r="C4315" s="55"/>
      <c r="D4315" s="55"/>
      <c r="E4315" s="66"/>
      <c r="F4315" s="76" t="s">
        <v>572</v>
      </c>
      <c r="G4315" s="76" t="str">
        <f t="shared" si="74"/>
        <v/>
      </c>
      <c r="H4315" s="77"/>
      <c r="I4315" s="74"/>
      <c r="J4315" s="156">
        <v>0</v>
      </c>
    </row>
    <row r="4316" spans="1:10" ht="15.75" hidden="1" thickBot="1" x14ac:dyDescent="0.3">
      <c r="A4316" s="221" t="s">
        <v>1414</v>
      </c>
      <c r="B4316" s="224" t="str">
        <f>INDEX(Orçamentária!A:B,MATCH(Composições!A4316,Orçamentária!A:A,0),2)</f>
        <v>Cumeeira TIPO SHED para telha de fibrocimento ondulada - espessura 6 mm</v>
      </c>
      <c r="C4316" s="41"/>
      <c r="D4316" s="26" t="str">
        <f>TRIM(INDEX(Orçamentária!C:C,MATCH(Composições!A4316,Orçamentária!A:A,0),1))</f>
        <v>m</v>
      </c>
      <c r="E4316" s="27"/>
      <c r="F4316" s="49" t="s">
        <v>572</v>
      </c>
      <c r="G4316" s="28" t="str">
        <f t="shared" si="74"/>
        <v/>
      </c>
      <c r="H4316" s="29"/>
      <c r="I4316" s="30"/>
      <c r="J4316" s="156">
        <v>0</v>
      </c>
    </row>
    <row r="4317" spans="1:10" ht="15.75" hidden="1" thickBot="1" x14ac:dyDescent="0.3">
      <c r="A4317" s="227"/>
      <c r="B4317" s="225"/>
      <c r="C4317" s="32"/>
      <c r="D4317" s="32"/>
      <c r="E4317" s="33"/>
      <c r="F4317" s="54" t="s">
        <v>572</v>
      </c>
      <c r="G4317" s="54" t="str">
        <f t="shared" si="74"/>
        <v/>
      </c>
      <c r="H4317" s="73"/>
      <c r="I4317" s="74"/>
      <c r="J4317" s="156">
        <v>0</v>
      </c>
    </row>
    <row r="4318" spans="1:10" ht="39" hidden="1" thickBot="1" x14ac:dyDescent="0.3">
      <c r="A4318" s="227"/>
      <c r="B4318" s="225"/>
      <c r="C4318" s="36" t="s">
        <v>1409</v>
      </c>
      <c r="D4318" s="47" t="s">
        <v>797</v>
      </c>
      <c r="E4318" s="37">
        <v>4.2</v>
      </c>
      <c r="F4318" s="54">
        <v>0.18049999999999999</v>
      </c>
      <c r="G4318" s="54">
        <f t="shared" si="74"/>
        <v>0.7581</v>
      </c>
      <c r="H4318" s="39">
        <f>SUM(G4318:G4324)</f>
        <v>48.228480900000001</v>
      </c>
      <c r="I4318" s="40"/>
      <c r="J4318" s="156">
        <v>0</v>
      </c>
    </row>
    <row r="4319" spans="1:10" ht="26.25" hidden="1" thickBot="1" x14ac:dyDescent="0.3">
      <c r="A4319" s="227"/>
      <c r="B4319" s="225"/>
      <c r="C4319" s="36" t="s">
        <v>1410</v>
      </c>
      <c r="D4319" s="36" t="s">
        <v>299</v>
      </c>
      <c r="E4319" s="37">
        <v>4.2</v>
      </c>
      <c r="F4319" s="54">
        <v>2.7075</v>
      </c>
      <c r="G4319" s="54">
        <f t="shared" si="74"/>
        <v>11.371500000000001</v>
      </c>
      <c r="H4319" s="73"/>
      <c r="I4319" s="74"/>
      <c r="J4319" s="156">
        <v>0</v>
      </c>
    </row>
    <row r="4320" spans="1:10" ht="26.25" hidden="1" thickBot="1" x14ac:dyDescent="0.3">
      <c r="A4320" s="227"/>
      <c r="B4320" s="225"/>
      <c r="C4320" s="36" t="s">
        <v>1415</v>
      </c>
      <c r="D4320" s="36" t="s">
        <v>299</v>
      </c>
      <c r="E4320" s="37">
        <v>1.0289999999999999</v>
      </c>
      <c r="F4320" s="54">
        <v>33.202500000000001</v>
      </c>
      <c r="G4320" s="54">
        <f t="shared" si="74"/>
        <v>34.165372499999997</v>
      </c>
      <c r="H4320" s="73"/>
      <c r="I4320" s="74"/>
      <c r="J4320" s="156">
        <v>0</v>
      </c>
    </row>
    <row r="4321" spans="1:10" ht="15.75" hidden="1" thickBot="1" x14ac:dyDescent="0.3">
      <c r="A4321" s="227"/>
      <c r="B4321" s="225"/>
      <c r="C4321" s="36" t="s">
        <v>760</v>
      </c>
      <c r="D4321" s="36" t="s">
        <v>759</v>
      </c>
      <c r="E4321" s="37">
        <v>5.5E-2</v>
      </c>
      <c r="F4321" s="54">
        <v>16.311500000000002</v>
      </c>
      <c r="G4321" s="54">
        <f t="shared" si="74"/>
        <v>0.89713250000000011</v>
      </c>
      <c r="H4321" s="73"/>
      <c r="I4321" s="74"/>
      <c r="J4321" s="156">
        <v>0</v>
      </c>
    </row>
    <row r="4322" spans="1:10" ht="15.75" hidden="1" thickBot="1" x14ac:dyDescent="0.3">
      <c r="A4322" s="227"/>
      <c r="B4322" s="225"/>
      <c r="C4322" s="36" t="s">
        <v>1391</v>
      </c>
      <c r="D4322" s="36" t="s">
        <v>759</v>
      </c>
      <c r="E4322" s="37">
        <v>4.1000000000000002E-2</v>
      </c>
      <c r="F4322" s="54">
        <v>23.360499999999998</v>
      </c>
      <c r="G4322" s="54">
        <f t="shared" si="74"/>
        <v>0.95778049999999992</v>
      </c>
      <c r="H4322" s="73"/>
      <c r="I4322" s="74"/>
      <c r="J4322" s="156">
        <v>0</v>
      </c>
    </row>
    <row r="4323" spans="1:10" ht="26.25" hidden="1" thickBot="1" x14ac:dyDescent="0.3">
      <c r="A4323" s="227"/>
      <c r="B4323" s="225"/>
      <c r="C4323" s="36" t="s">
        <v>1392</v>
      </c>
      <c r="D4323" s="36" t="s">
        <v>1001</v>
      </c>
      <c r="E4323" s="37">
        <v>1.8E-3</v>
      </c>
      <c r="F4323" s="54">
        <v>18.277999999999999</v>
      </c>
      <c r="G4323" s="54">
        <f t="shared" si="74"/>
        <v>3.2900399999999996E-2</v>
      </c>
      <c r="H4323" s="73"/>
      <c r="I4323" s="74"/>
      <c r="J4323" s="156">
        <v>0</v>
      </c>
    </row>
    <row r="4324" spans="1:10" ht="26.25" hidden="1" thickBot="1" x14ac:dyDescent="0.3">
      <c r="A4324" s="227"/>
      <c r="B4324" s="225"/>
      <c r="C4324" s="36" t="s">
        <v>1393</v>
      </c>
      <c r="D4324" s="36" t="s">
        <v>1003</v>
      </c>
      <c r="E4324" s="37">
        <v>2.5999999999999999E-3</v>
      </c>
      <c r="F4324" s="54">
        <v>17.574999999999999</v>
      </c>
      <c r="G4324" s="54">
        <f t="shared" si="74"/>
        <v>4.5695E-2</v>
      </c>
      <c r="H4324" s="73"/>
      <c r="I4324" s="74"/>
      <c r="J4324" s="156">
        <v>0</v>
      </c>
    </row>
    <row r="4325" spans="1:10" ht="15.75" hidden="1" thickBot="1" x14ac:dyDescent="0.3">
      <c r="A4325" s="228"/>
      <c r="B4325" s="226"/>
      <c r="C4325" s="55"/>
      <c r="D4325" s="55"/>
      <c r="E4325" s="66"/>
      <c r="F4325" s="76" t="s">
        <v>572</v>
      </c>
      <c r="G4325" s="76" t="str">
        <f t="shared" si="74"/>
        <v/>
      </c>
      <c r="H4325" s="77"/>
      <c r="I4325" s="74"/>
      <c r="J4325" s="156">
        <v>0</v>
      </c>
    </row>
    <row r="4326" spans="1:10" ht="15.75" hidden="1" thickBot="1" x14ac:dyDescent="0.3">
      <c r="A4326" s="221" t="s">
        <v>1416</v>
      </c>
      <c r="B4326" s="224" t="str">
        <f>INDEX(Orçamentária!A:B,MATCH(Composições!A4326,Orçamentária!A:A,0),2)</f>
        <v>Telha de fibrocimento - Canalete 49 Eternit</v>
      </c>
      <c r="C4326" s="41"/>
      <c r="D4326" s="26" t="str">
        <f>TRIM(INDEX(Orçamentária!C:C,MATCH(Composições!A4326,Orçamentária!A:A,0),1))</f>
        <v>m2</v>
      </c>
      <c r="E4326" s="27"/>
      <c r="F4326" s="49" t="s">
        <v>572</v>
      </c>
      <c r="G4326" s="28" t="str">
        <f t="shared" si="74"/>
        <v/>
      </c>
      <c r="H4326" s="29"/>
      <c r="I4326" s="30"/>
      <c r="J4326" s="156">
        <v>0</v>
      </c>
    </row>
    <row r="4327" spans="1:10" ht="15.75" hidden="1" thickBot="1" x14ac:dyDescent="0.3">
      <c r="A4327" s="227"/>
      <c r="B4327" s="225"/>
      <c r="C4327" s="32"/>
      <c r="D4327" s="32"/>
      <c r="E4327" s="33"/>
      <c r="F4327" s="54" t="s">
        <v>572</v>
      </c>
      <c r="G4327" s="54" t="str">
        <f t="shared" si="74"/>
        <v/>
      </c>
      <c r="H4327" s="73"/>
      <c r="I4327" s="74"/>
      <c r="J4327" s="156">
        <v>0</v>
      </c>
    </row>
    <row r="4328" spans="1:10" ht="15.75" hidden="1" thickBot="1" x14ac:dyDescent="0.3">
      <c r="A4328" s="227"/>
      <c r="B4328" s="225"/>
      <c r="C4328" s="36" t="s">
        <v>1391</v>
      </c>
      <c r="D4328" s="36" t="s">
        <v>12</v>
      </c>
      <c r="E4328" s="37">
        <v>0.15</v>
      </c>
      <c r="F4328" s="54">
        <v>23.360499999999998</v>
      </c>
      <c r="G4328" s="54">
        <f t="shared" si="74"/>
        <v>3.5040749999999998</v>
      </c>
      <c r="H4328" s="39">
        <f>SUM(G4328:G4332)</f>
        <v>5.9508000000000001</v>
      </c>
      <c r="I4328" s="40"/>
      <c r="J4328" s="156">
        <v>0</v>
      </c>
    </row>
    <row r="4329" spans="1:10" ht="15.75" hidden="1" thickBot="1" x14ac:dyDescent="0.3">
      <c r="A4329" s="227"/>
      <c r="B4329" s="225"/>
      <c r="C4329" s="36" t="s">
        <v>760</v>
      </c>
      <c r="D4329" s="36" t="s">
        <v>12</v>
      </c>
      <c r="E4329" s="37">
        <v>0.15</v>
      </c>
      <c r="F4329" s="54">
        <v>16.311500000000002</v>
      </c>
      <c r="G4329" s="54">
        <f t="shared" si="74"/>
        <v>2.4467250000000003</v>
      </c>
      <c r="H4329" s="73"/>
      <c r="I4329" s="74"/>
      <c r="J4329" s="156">
        <v>0</v>
      </c>
    </row>
    <row r="4330" spans="1:10" ht="15.75" hidden="1" thickBot="1" x14ac:dyDescent="0.3">
      <c r="A4330" s="227"/>
      <c r="B4330" s="225"/>
      <c r="C4330" s="36" t="s">
        <v>1399</v>
      </c>
      <c r="D4330" s="36" t="s">
        <v>299</v>
      </c>
      <c r="E4330" s="37">
        <v>4.12</v>
      </c>
      <c r="F4330" s="54">
        <v>0</v>
      </c>
      <c r="G4330" s="54">
        <f t="shared" si="74"/>
        <v>0</v>
      </c>
      <c r="H4330" s="73"/>
      <c r="I4330" s="74"/>
      <c r="J4330" s="156">
        <v>0</v>
      </c>
    </row>
    <row r="4331" spans="1:10" ht="15.75" hidden="1" thickBot="1" x14ac:dyDescent="0.3">
      <c r="A4331" s="227"/>
      <c r="B4331" s="225"/>
      <c r="C4331" s="36" t="s">
        <v>3626</v>
      </c>
      <c r="D4331" s="36" t="s">
        <v>96</v>
      </c>
      <c r="E4331" s="37">
        <v>1.06</v>
      </c>
      <c r="F4331" s="54">
        <v>0</v>
      </c>
      <c r="G4331" s="54">
        <f t="shared" si="74"/>
        <v>0</v>
      </c>
      <c r="H4331" s="73"/>
      <c r="I4331" s="74"/>
      <c r="J4331" s="156">
        <v>0</v>
      </c>
    </row>
    <row r="4332" spans="1:10" ht="15.75" hidden="1" thickBot="1" x14ac:dyDescent="0.3">
      <c r="A4332" s="227"/>
      <c r="B4332" s="225"/>
      <c r="C4332" s="36" t="s">
        <v>1417</v>
      </c>
      <c r="D4332" s="36" t="s">
        <v>299</v>
      </c>
      <c r="E4332" s="37">
        <v>4.12</v>
      </c>
      <c r="F4332" s="54">
        <v>0</v>
      </c>
      <c r="G4332" s="54">
        <f t="shared" si="74"/>
        <v>0</v>
      </c>
      <c r="H4332" s="73"/>
      <c r="I4332" s="74"/>
      <c r="J4332" s="156">
        <v>0</v>
      </c>
    </row>
    <row r="4333" spans="1:10" ht="15.75" hidden="1" thickBot="1" x14ac:dyDescent="0.3">
      <c r="A4333" s="228"/>
      <c r="B4333" s="226"/>
      <c r="C4333" s="55"/>
      <c r="D4333" s="55"/>
      <c r="E4333" s="66"/>
      <c r="F4333" s="76" t="s">
        <v>572</v>
      </c>
      <c r="G4333" s="76" t="str">
        <f t="shared" si="74"/>
        <v/>
      </c>
      <c r="H4333" s="77"/>
      <c r="I4333" s="74"/>
      <c r="J4333" s="156">
        <v>0</v>
      </c>
    </row>
    <row r="4334" spans="1:10" ht="15.75" hidden="1" thickBot="1" x14ac:dyDescent="0.3">
      <c r="A4334" s="230" t="s">
        <v>1418</v>
      </c>
      <c r="B4334" s="224" t="str">
        <f>INDEX(Orçamentária!A:B,MATCH(Composições!A4334,Orçamentária!A:A,0),2)</f>
        <v>Escada tipo marinheiro COM proteção</v>
      </c>
      <c r="C4334" s="41"/>
      <c r="D4334" s="26" t="str">
        <f>TRIM(INDEX(Orçamentária!C:C,MATCH(Composições!A4334,Orçamentária!A:A,0),1))</f>
        <v>m</v>
      </c>
      <c r="E4334" s="27"/>
      <c r="F4334" s="49" t="s">
        <v>572</v>
      </c>
      <c r="G4334" s="28" t="str">
        <f t="shared" si="74"/>
        <v/>
      </c>
      <c r="H4334" s="29"/>
      <c r="I4334" s="30"/>
      <c r="J4334" s="156">
        <v>0</v>
      </c>
    </row>
    <row r="4335" spans="1:10" ht="15.75" hidden="1" thickBot="1" x14ac:dyDescent="0.3">
      <c r="A4335" s="236"/>
      <c r="B4335" s="225"/>
      <c r="C4335" s="32"/>
      <c r="D4335" s="32"/>
      <c r="E4335" s="33"/>
      <c r="F4335" s="54" t="s">
        <v>572</v>
      </c>
      <c r="G4335" s="54" t="str">
        <f t="shared" si="74"/>
        <v/>
      </c>
      <c r="H4335" s="73"/>
      <c r="I4335" s="74"/>
      <c r="J4335" s="156">
        <v>0</v>
      </c>
    </row>
    <row r="4336" spans="1:10" ht="15.75" hidden="1" thickBot="1" x14ac:dyDescent="0.3">
      <c r="A4336" s="236"/>
      <c r="B4336" s="225"/>
      <c r="C4336" s="36" t="s">
        <v>828</v>
      </c>
      <c r="D4336" s="47" t="s">
        <v>957</v>
      </c>
      <c r="E4336" s="37">
        <v>2.8</v>
      </c>
      <c r="F4336" s="54">
        <v>9.0439999999999987</v>
      </c>
      <c r="G4336" s="54">
        <f t="shared" si="74"/>
        <v>25.323199999999996</v>
      </c>
      <c r="H4336" s="39">
        <f>SUM(G4336:G4348)</f>
        <v>300.78358861282146</v>
      </c>
      <c r="I4336" s="40"/>
      <c r="J4336" s="156">
        <v>0</v>
      </c>
    </row>
    <row r="4337" spans="1:10" ht="15.75" hidden="1" thickBot="1" x14ac:dyDescent="0.3">
      <c r="A4337" s="236"/>
      <c r="B4337" s="225"/>
      <c r="C4337" s="36" t="s">
        <v>1419</v>
      </c>
      <c r="D4337" s="36" t="s">
        <v>105</v>
      </c>
      <c r="E4337" s="37">
        <v>2.5000000000000001E-2</v>
      </c>
      <c r="F4337" s="54">
        <v>30.694500000000001</v>
      </c>
      <c r="G4337" s="54">
        <f t="shared" si="74"/>
        <v>0.76736250000000006</v>
      </c>
      <c r="H4337" s="73"/>
      <c r="I4337" s="74"/>
      <c r="J4337" s="156">
        <v>0</v>
      </c>
    </row>
    <row r="4338" spans="1:10" ht="15.75" hidden="1" thickBot="1" x14ac:dyDescent="0.3">
      <c r="A4338" s="236"/>
      <c r="B4338" s="225"/>
      <c r="C4338" s="36" t="s">
        <v>960</v>
      </c>
      <c r="D4338" s="36" t="s">
        <v>759</v>
      </c>
      <c r="E4338" s="37">
        <v>0.35</v>
      </c>
      <c r="F4338" s="54">
        <v>21.973499999999998</v>
      </c>
      <c r="G4338" s="54">
        <f t="shared" si="74"/>
        <v>7.6907249999999987</v>
      </c>
      <c r="H4338" s="73"/>
      <c r="I4338" s="74"/>
      <c r="J4338" s="156">
        <v>0</v>
      </c>
    </row>
    <row r="4339" spans="1:10" ht="15.75" hidden="1" thickBot="1" x14ac:dyDescent="0.3">
      <c r="A4339" s="236"/>
      <c r="B4339" s="225"/>
      <c r="C4339" s="36" t="s">
        <v>768</v>
      </c>
      <c r="D4339" s="36" t="s">
        <v>759</v>
      </c>
      <c r="E4339" s="37">
        <v>1.1000000000000001</v>
      </c>
      <c r="F4339" s="54">
        <v>22.087499999999999</v>
      </c>
      <c r="G4339" s="54">
        <f t="shared" si="74"/>
        <v>24.296250000000001</v>
      </c>
      <c r="H4339" s="73"/>
      <c r="I4339" s="74"/>
      <c r="J4339" s="156">
        <v>0</v>
      </c>
    </row>
    <row r="4340" spans="1:10" ht="15.75" hidden="1" thickBot="1" x14ac:dyDescent="0.3">
      <c r="A4340" s="236"/>
      <c r="B4340" s="225"/>
      <c r="C4340" s="36" t="s">
        <v>760</v>
      </c>
      <c r="D4340" s="36" t="s">
        <v>759</v>
      </c>
      <c r="E4340" s="37">
        <v>1.1299999999999999</v>
      </c>
      <c r="F4340" s="54">
        <v>16.311500000000002</v>
      </c>
      <c r="G4340" s="54">
        <f t="shared" si="74"/>
        <v>18.431995000000001</v>
      </c>
      <c r="H4340" s="73"/>
      <c r="I4340" s="74"/>
      <c r="J4340" s="156">
        <v>0</v>
      </c>
    </row>
    <row r="4341" spans="1:10" ht="26.25" hidden="1" thickBot="1" x14ac:dyDescent="0.3">
      <c r="A4341" s="236"/>
      <c r="B4341" s="225"/>
      <c r="C4341" s="36" t="s">
        <v>111</v>
      </c>
      <c r="D4341" s="36" t="s">
        <v>124</v>
      </c>
      <c r="E4341" s="37">
        <v>3.5000000000000001E-3</v>
      </c>
      <c r="F4341" s="54">
        <v>511.25031794899996</v>
      </c>
      <c r="G4341" s="54">
        <f t="shared" si="74"/>
        <v>1.7893761128215</v>
      </c>
      <c r="H4341" s="73"/>
      <c r="I4341" s="74"/>
      <c r="J4341" s="156">
        <v>0</v>
      </c>
    </row>
    <row r="4342" spans="1:10" ht="15.75" hidden="1" thickBot="1" x14ac:dyDescent="0.3">
      <c r="A4342" s="236"/>
      <c r="B4342" s="225"/>
      <c r="C4342" s="36" t="s">
        <v>828</v>
      </c>
      <c r="D4342" s="47" t="s">
        <v>957</v>
      </c>
      <c r="E4342" s="37">
        <v>3</v>
      </c>
      <c r="F4342" s="54">
        <v>9.0439999999999987</v>
      </c>
      <c r="G4342" s="54">
        <f t="shared" si="74"/>
        <v>27.131999999999998</v>
      </c>
      <c r="H4342" s="73"/>
      <c r="I4342" s="74"/>
      <c r="J4342" s="156">
        <v>0</v>
      </c>
    </row>
    <row r="4343" spans="1:10" ht="26.25" hidden="1" thickBot="1" x14ac:dyDescent="0.3">
      <c r="A4343" s="236"/>
      <c r="B4343" s="225"/>
      <c r="C4343" s="36" t="s">
        <v>135</v>
      </c>
      <c r="D4343" s="47" t="s">
        <v>957</v>
      </c>
      <c r="E4343" s="37">
        <v>15</v>
      </c>
      <c r="F4343" s="54">
        <v>8.2174999999999994</v>
      </c>
      <c r="G4343" s="54">
        <f t="shared" si="74"/>
        <v>123.26249999999999</v>
      </c>
      <c r="H4343" s="73"/>
      <c r="I4343" s="74"/>
      <c r="J4343" s="156">
        <v>0</v>
      </c>
    </row>
    <row r="4344" spans="1:10" ht="15.75" hidden="1" thickBot="1" x14ac:dyDescent="0.3">
      <c r="A4344" s="236"/>
      <c r="B4344" s="225"/>
      <c r="C4344" s="36" t="s">
        <v>768</v>
      </c>
      <c r="D4344" s="36" t="s">
        <v>759</v>
      </c>
      <c r="E4344" s="37">
        <v>0.4</v>
      </c>
      <c r="F4344" s="54">
        <v>22.087499999999999</v>
      </c>
      <c r="G4344" s="54">
        <f t="shared" si="74"/>
        <v>8.8349999999999991</v>
      </c>
      <c r="H4344" s="73"/>
      <c r="I4344" s="74"/>
      <c r="J4344" s="156">
        <v>0</v>
      </c>
    </row>
    <row r="4345" spans="1:10" ht="15.75" hidden="1" thickBot="1" x14ac:dyDescent="0.3">
      <c r="A4345" s="236"/>
      <c r="B4345" s="225"/>
      <c r="C4345" s="36" t="s">
        <v>760</v>
      </c>
      <c r="D4345" s="36" t="s">
        <v>759</v>
      </c>
      <c r="E4345" s="37">
        <v>0.8</v>
      </c>
      <c r="F4345" s="54">
        <v>16.311500000000002</v>
      </c>
      <c r="G4345" s="54">
        <f t="shared" si="74"/>
        <v>13.049200000000003</v>
      </c>
      <c r="H4345" s="73"/>
      <c r="I4345" s="74"/>
      <c r="J4345" s="156">
        <v>0</v>
      </c>
    </row>
    <row r="4346" spans="1:10" ht="15.75" hidden="1" thickBot="1" x14ac:dyDescent="0.3">
      <c r="A4346" s="236"/>
      <c r="B4346" s="225"/>
      <c r="C4346" s="36" t="s">
        <v>1142</v>
      </c>
      <c r="D4346" s="36" t="s">
        <v>759</v>
      </c>
      <c r="E4346" s="37">
        <v>2</v>
      </c>
      <c r="F4346" s="54">
        <v>22.600499999999997</v>
      </c>
      <c r="G4346" s="54">
        <f t="shared" si="74"/>
        <v>45.200999999999993</v>
      </c>
      <c r="H4346" s="73"/>
      <c r="I4346" s="74"/>
      <c r="J4346" s="156">
        <v>0</v>
      </c>
    </row>
    <row r="4347" spans="1:10" ht="15.75" hidden="1" thickBot="1" x14ac:dyDescent="0.3">
      <c r="A4347" s="236"/>
      <c r="B4347" s="225"/>
      <c r="C4347" s="36" t="s">
        <v>137</v>
      </c>
      <c r="D4347" s="47" t="s">
        <v>957</v>
      </c>
      <c r="E4347" s="37">
        <v>0.2</v>
      </c>
      <c r="F4347" s="54">
        <v>18.885999999999999</v>
      </c>
      <c r="G4347" s="54">
        <f t="shared" si="74"/>
        <v>3.7772000000000001</v>
      </c>
      <c r="H4347" s="73"/>
      <c r="I4347" s="74"/>
      <c r="J4347" s="156">
        <v>0</v>
      </c>
    </row>
    <row r="4348" spans="1:10" ht="15.75" hidden="1" thickBot="1" x14ac:dyDescent="0.3">
      <c r="A4348" s="236"/>
      <c r="B4348" s="225"/>
      <c r="C4348" s="36" t="s">
        <v>1419</v>
      </c>
      <c r="D4348" s="36" t="s">
        <v>105</v>
      </c>
      <c r="E4348" s="37">
        <v>0.04</v>
      </c>
      <c r="F4348" s="54">
        <v>30.694500000000001</v>
      </c>
      <c r="G4348" s="54">
        <f t="shared" si="74"/>
        <v>1.2277800000000001</v>
      </c>
      <c r="H4348" s="73"/>
      <c r="I4348" s="74"/>
      <c r="J4348" s="156">
        <v>0</v>
      </c>
    </row>
    <row r="4349" spans="1:10" ht="15.75" hidden="1" thickBot="1" x14ac:dyDescent="0.3">
      <c r="A4349" s="237"/>
      <c r="B4349" s="226"/>
      <c r="C4349" s="55"/>
      <c r="D4349" s="55"/>
      <c r="E4349" s="66"/>
      <c r="F4349" s="76" t="s">
        <v>572</v>
      </c>
      <c r="G4349" s="76" t="str">
        <f t="shared" si="74"/>
        <v/>
      </c>
      <c r="H4349" s="77"/>
      <c r="I4349" s="74"/>
      <c r="J4349" s="156">
        <v>0</v>
      </c>
    </row>
    <row r="4350" spans="1:10" ht="15.75" hidden="1" thickBot="1" x14ac:dyDescent="0.3">
      <c r="A4350" s="230" t="s">
        <v>1420</v>
      </c>
      <c r="B4350" s="224" t="str">
        <f>INDEX(Orçamentária!A:B,MATCH(Composições!A4350,Orçamentária!A:A,0),2)</f>
        <v>Escada tipo marinheiro SEM proteção</v>
      </c>
      <c r="C4350" s="41"/>
      <c r="D4350" s="26" t="str">
        <f>TRIM(INDEX(Orçamentária!C:C,MATCH(Composições!A4350,Orçamentária!A:A,0),1))</f>
        <v>m</v>
      </c>
      <c r="E4350" s="27"/>
      <c r="F4350" s="49" t="s">
        <v>572</v>
      </c>
      <c r="G4350" s="28" t="str">
        <f t="shared" si="74"/>
        <v/>
      </c>
      <c r="H4350" s="29"/>
      <c r="I4350" s="30"/>
      <c r="J4350" s="156">
        <v>0</v>
      </c>
    </row>
    <row r="4351" spans="1:10" ht="15.75" hidden="1" thickBot="1" x14ac:dyDescent="0.3">
      <c r="A4351" s="236"/>
      <c r="B4351" s="225"/>
      <c r="C4351" s="32"/>
      <c r="D4351" s="32"/>
      <c r="E4351" s="33"/>
      <c r="F4351" s="54" t="s">
        <v>572</v>
      </c>
      <c r="G4351" s="54" t="str">
        <f t="shared" si="74"/>
        <v/>
      </c>
      <c r="H4351" s="73"/>
      <c r="I4351" s="74"/>
      <c r="J4351" s="156">
        <v>0</v>
      </c>
    </row>
    <row r="4352" spans="1:10" ht="15.75" hidden="1" thickBot="1" x14ac:dyDescent="0.3">
      <c r="A4352" s="236"/>
      <c r="B4352" s="225"/>
      <c r="C4352" s="36" t="s">
        <v>828</v>
      </c>
      <c r="D4352" s="47" t="s">
        <v>957</v>
      </c>
      <c r="E4352" s="37">
        <v>2.8</v>
      </c>
      <c r="F4352" s="54">
        <v>9.0439999999999987</v>
      </c>
      <c r="G4352" s="54">
        <f t="shared" si="74"/>
        <v>25.323199999999996</v>
      </c>
      <c r="H4352" s="39">
        <f>SUM(G4352:G4357)</f>
        <v>78.298908612821506</v>
      </c>
      <c r="I4352" s="40"/>
      <c r="J4352" s="156">
        <v>0</v>
      </c>
    </row>
    <row r="4353" spans="1:10" ht="15.75" hidden="1" thickBot="1" x14ac:dyDescent="0.3">
      <c r="A4353" s="236"/>
      <c r="B4353" s="225"/>
      <c r="C4353" s="36" t="s">
        <v>1419</v>
      </c>
      <c r="D4353" s="36" t="s">
        <v>105</v>
      </c>
      <c r="E4353" s="37">
        <v>2.5000000000000001E-2</v>
      </c>
      <c r="F4353" s="54">
        <v>30.694500000000001</v>
      </c>
      <c r="G4353" s="54">
        <f t="shared" si="74"/>
        <v>0.76736250000000006</v>
      </c>
      <c r="H4353" s="73"/>
      <c r="I4353" s="74"/>
      <c r="J4353" s="156">
        <v>0</v>
      </c>
    </row>
    <row r="4354" spans="1:10" ht="15.75" hidden="1" thickBot="1" x14ac:dyDescent="0.3">
      <c r="A4354" s="236"/>
      <c r="B4354" s="225"/>
      <c r="C4354" s="36" t="s">
        <v>960</v>
      </c>
      <c r="D4354" s="36" t="s">
        <v>759</v>
      </c>
      <c r="E4354" s="37">
        <v>0.35</v>
      </c>
      <c r="F4354" s="54">
        <v>21.973499999999998</v>
      </c>
      <c r="G4354" s="54">
        <f t="shared" si="74"/>
        <v>7.6907249999999987</v>
      </c>
      <c r="H4354" s="73"/>
      <c r="I4354" s="74"/>
      <c r="J4354" s="156">
        <v>0</v>
      </c>
    </row>
    <row r="4355" spans="1:10" ht="15.75" hidden="1" thickBot="1" x14ac:dyDescent="0.3">
      <c r="A4355" s="236"/>
      <c r="B4355" s="225"/>
      <c r="C4355" s="36" t="s">
        <v>768</v>
      </c>
      <c r="D4355" s="36" t="s">
        <v>759</v>
      </c>
      <c r="E4355" s="37">
        <v>1.1000000000000001</v>
      </c>
      <c r="F4355" s="54">
        <v>22.087499999999999</v>
      </c>
      <c r="G4355" s="54">
        <f t="shared" si="74"/>
        <v>24.296250000000001</v>
      </c>
      <c r="H4355" s="73"/>
      <c r="I4355" s="74"/>
      <c r="J4355" s="156">
        <v>0</v>
      </c>
    </row>
    <row r="4356" spans="1:10" ht="15.75" hidden="1" thickBot="1" x14ac:dyDescent="0.3">
      <c r="A4356" s="236"/>
      <c r="B4356" s="225"/>
      <c r="C4356" s="36" t="s">
        <v>760</v>
      </c>
      <c r="D4356" s="36" t="s">
        <v>759</v>
      </c>
      <c r="E4356" s="37">
        <v>1.1299999999999999</v>
      </c>
      <c r="F4356" s="54">
        <v>16.311500000000002</v>
      </c>
      <c r="G4356" s="54">
        <f t="shared" si="74"/>
        <v>18.431995000000001</v>
      </c>
      <c r="H4356" s="73"/>
      <c r="I4356" s="74"/>
      <c r="J4356" s="156">
        <v>0</v>
      </c>
    </row>
    <row r="4357" spans="1:10" ht="26.25" hidden="1" thickBot="1" x14ac:dyDescent="0.3">
      <c r="A4357" s="236"/>
      <c r="B4357" s="225"/>
      <c r="C4357" s="36" t="s">
        <v>111</v>
      </c>
      <c r="D4357" s="36" t="s">
        <v>124</v>
      </c>
      <c r="E4357" s="37">
        <v>3.5000000000000001E-3</v>
      </c>
      <c r="F4357" s="54">
        <v>511.25031794899996</v>
      </c>
      <c r="G4357" s="54">
        <f t="shared" si="74"/>
        <v>1.7893761128215</v>
      </c>
      <c r="H4357" s="73"/>
      <c r="I4357" s="74"/>
      <c r="J4357" s="156">
        <v>0</v>
      </c>
    </row>
    <row r="4358" spans="1:10" ht="15.75" hidden="1" thickBot="1" x14ac:dyDescent="0.3">
      <c r="A4358" s="237"/>
      <c r="B4358" s="226"/>
      <c r="C4358" s="55"/>
      <c r="D4358" s="55"/>
      <c r="E4358" s="66"/>
      <c r="F4358" s="76" t="s">
        <v>572</v>
      </c>
      <c r="G4358" s="76" t="str">
        <f t="shared" si="74"/>
        <v/>
      </c>
      <c r="H4358" s="77"/>
      <c r="I4358" s="74"/>
      <c r="J4358" s="156">
        <v>0</v>
      </c>
    </row>
    <row r="4359" spans="1:10" ht="15.75" hidden="1" thickBot="1" x14ac:dyDescent="0.3">
      <c r="A4359" s="221" t="s">
        <v>1421</v>
      </c>
      <c r="B4359" s="224" t="str">
        <f>INDEX(Orçamentária!A:B,MATCH(Composições!A4359,Orçamentária!A:A,0),2)</f>
        <v>Limpeza e Preparação do Substrato para Impermeabilização</v>
      </c>
      <c r="C4359" s="41"/>
      <c r="D4359" s="26" t="str">
        <f>TRIM(INDEX(Orçamentária!C:C,MATCH(Composições!A4359,Orçamentária!A:A,0),1))</f>
        <v>m2</v>
      </c>
      <c r="E4359" s="27"/>
      <c r="F4359" s="49" t="s">
        <v>572</v>
      </c>
      <c r="G4359" s="28" t="str">
        <f t="shared" si="74"/>
        <v/>
      </c>
      <c r="H4359" s="29"/>
      <c r="I4359" s="30"/>
      <c r="J4359" s="156">
        <v>0</v>
      </c>
    </row>
    <row r="4360" spans="1:10" ht="15.75" hidden="1" thickBot="1" x14ac:dyDescent="0.3">
      <c r="A4360" s="227"/>
      <c r="B4360" s="225"/>
      <c r="C4360" s="32"/>
      <c r="D4360" s="32"/>
      <c r="E4360" s="33"/>
      <c r="F4360" s="54" t="s">
        <v>572</v>
      </c>
      <c r="G4360" s="54" t="str">
        <f t="shared" si="74"/>
        <v/>
      </c>
      <c r="H4360" s="73"/>
      <c r="I4360" s="74"/>
      <c r="J4360" s="156">
        <v>0</v>
      </c>
    </row>
    <row r="4361" spans="1:10" ht="15.75" hidden="1" thickBot="1" x14ac:dyDescent="0.3">
      <c r="A4361" s="227"/>
      <c r="B4361" s="225"/>
      <c r="C4361" s="36" t="s">
        <v>760</v>
      </c>
      <c r="D4361" s="36" t="s">
        <v>12</v>
      </c>
      <c r="E4361" s="37">
        <v>0.11</v>
      </c>
      <c r="F4361" s="54">
        <v>16.311500000000002</v>
      </c>
      <c r="G4361" s="54">
        <f t="shared" si="74"/>
        <v>1.7942650000000002</v>
      </c>
      <c r="H4361" s="39">
        <f>SUM(G4361:G4363)</f>
        <v>1.7942650000000002</v>
      </c>
      <c r="I4361" s="40"/>
      <c r="J4361" s="156">
        <v>0</v>
      </c>
    </row>
    <row r="4362" spans="1:10" ht="15.75" hidden="1" thickBot="1" x14ac:dyDescent="0.3">
      <c r="A4362" s="227"/>
      <c r="B4362" s="225"/>
      <c r="C4362" s="36" t="s">
        <v>1422</v>
      </c>
      <c r="D4362" s="36" t="s">
        <v>1423</v>
      </c>
      <c r="E4362" s="37">
        <v>0.22</v>
      </c>
      <c r="F4362" s="54">
        <v>0</v>
      </c>
      <c r="G4362" s="54">
        <f t="shared" si="74"/>
        <v>0</v>
      </c>
      <c r="H4362" s="73"/>
      <c r="I4362" s="74"/>
      <c r="J4362" s="156">
        <v>0</v>
      </c>
    </row>
    <row r="4363" spans="1:10" ht="15.75" hidden="1" thickBot="1" x14ac:dyDescent="0.3">
      <c r="A4363" s="227"/>
      <c r="B4363" s="225"/>
      <c r="C4363" s="36" t="s">
        <v>1424</v>
      </c>
      <c r="D4363" s="36" t="s">
        <v>105</v>
      </c>
      <c r="E4363" s="37">
        <v>0.4</v>
      </c>
      <c r="F4363" s="54">
        <v>0</v>
      </c>
      <c r="G4363" s="54">
        <f t="shared" si="74"/>
        <v>0</v>
      </c>
      <c r="H4363" s="73"/>
      <c r="I4363" s="74"/>
      <c r="J4363" s="156">
        <v>0</v>
      </c>
    </row>
    <row r="4364" spans="1:10" ht="15.75" hidden="1" thickBot="1" x14ac:dyDescent="0.3">
      <c r="A4364" s="228"/>
      <c r="B4364" s="226"/>
      <c r="C4364" s="55"/>
      <c r="D4364" s="55"/>
      <c r="E4364" s="66"/>
      <c r="F4364" s="76" t="s">
        <v>572</v>
      </c>
      <c r="G4364" s="76" t="str">
        <f t="shared" si="74"/>
        <v/>
      </c>
      <c r="H4364" s="77"/>
      <c r="I4364" s="74"/>
      <c r="J4364" s="156">
        <v>0</v>
      </c>
    </row>
    <row r="4365" spans="1:10" ht="15.75" hidden="1" thickBot="1" x14ac:dyDescent="0.3">
      <c r="A4365" s="221" t="s">
        <v>1425</v>
      </c>
      <c r="B4365" s="224" t="str">
        <f>INDEX(Orçamentária!A:B,MATCH(Composições!A4365,Orçamentária!A:A,0),2)</f>
        <v>Substituição de Coletores de Águas Pluviais</v>
      </c>
      <c r="C4365" s="41"/>
      <c r="D4365" s="26" t="str">
        <f>TRIM(INDEX(Orçamentária!C:C,MATCH(Composições!A4365,Orçamentária!A:A,0),1))</f>
        <v>un</v>
      </c>
      <c r="E4365" s="27"/>
      <c r="F4365" s="49" t="s">
        <v>572</v>
      </c>
      <c r="G4365" s="28" t="str">
        <f t="shared" si="74"/>
        <v/>
      </c>
      <c r="H4365" s="29"/>
      <c r="I4365" s="30"/>
      <c r="J4365" s="156">
        <v>0</v>
      </c>
    </row>
    <row r="4366" spans="1:10" ht="15.75" hidden="1" thickBot="1" x14ac:dyDescent="0.3">
      <c r="A4366" s="227"/>
      <c r="B4366" s="225"/>
      <c r="C4366" s="32"/>
      <c r="D4366" s="32"/>
      <c r="E4366" s="33"/>
      <c r="F4366" s="54" t="s">
        <v>572</v>
      </c>
      <c r="G4366" s="54" t="str">
        <f t="shared" si="74"/>
        <v/>
      </c>
      <c r="H4366" s="73"/>
      <c r="I4366" s="74"/>
      <c r="J4366" s="156">
        <v>0</v>
      </c>
    </row>
    <row r="4367" spans="1:10" ht="26.25" hidden="1" thickBot="1" x14ac:dyDescent="0.3">
      <c r="A4367" s="227"/>
      <c r="B4367" s="225"/>
      <c r="C4367" s="36" t="s">
        <v>1426</v>
      </c>
      <c r="D4367" s="47" t="s">
        <v>299</v>
      </c>
      <c r="E4367" s="37">
        <v>1</v>
      </c>
      <c r="F4367" s="54">
        <v>11.371499999999999</v>
      </c>
      <c r="G4367" s="54">
        <f t="shared" si="74"/>
        <v>11.371499999999999</v>
      </c>
      <c r="H4367" s="39">
        <f>SUM(G4367:G4381)</f>
        <v>211.54408480000001</v>
      </c>
      <c r="I4367" s="40"/>
      <c r="J4367" s="156">
        <v>0</v>
      </c>
    </row>
    <row r="4368" spans="1:10" ht="26.25" hidden="1" thickBot="1" x14ac:dyDescent="0.3">
      <c r="A4368" s="227"/>
      <c r="B4368" s="225"/>
      <c r="C4368" s="36" t="s">
        <v>1427</v>
      </c>
      <c r="D4368" s="36" t="s">
        <v>299</v>
      </c>
      <c r="E4368" s="37">
        <v>1</v>
      </c>
      <c r="F4368" s="54">
        <v>45.552500000000002</v>
      </c>
      <c r="G4368" s="54">
        <f t="shared" si="74"/>
        <v>45.552500000000002</v>
      </c>
      <c r="H4368" s="73"/>
      <c r="I4368" s="74"/>
      <c r="J4368" s="156">
        <v>0</v>
      </c>
    </row>
    <row r="4369" spans="1:10" ht="26.25" hidden="1" thickBot="1" x14ac:dyDescent="0.3">
      <c r="A4369" s="227"/>
      <c r="B4369" s="225"/>
      <c r="C4369" s="36" t="s">
        <v>1428</v>
      </c>
      <c r="D4369" s="36" t="s">
        <v>299</v>
      </c>
      <c r="E4369" s="37">
        <v>7.0000000000000007E-2</v>
      </c>
      <c r="F4369" s="54">
        <v>27.645</v>
      </c>
      <c r="G4369" s="54">
        <f t="shared" si="74"/>
        <v>1.9351500000000001</v>
      </c>
      <c r="H4369" s="73"/>
      <c r="I4369" s="74"/>
      <c r="J4369" s="156">
        <v>0</v>
      </c>
    </row>
    <row r="4370" spans="1:10" ht="26.25" hidden="1" thickBot="1" x14ac:dyDescent="0.3">
      <c r="A4370" s="227"/>
      <c r="B4370" s="225"/>
      <c r="C4370" s="36" t="s">
        <v>1012</v>
      </c>
      <c r="D4370" s="36" t="s">
        <v>759</v>
      </c>
      <c r="E4370" s="37">
        <v>0.11</v>
      </c>
      <c r="F4370" s="54">
        <v>16.891000000000002</v>
      </c>
      <c r="G4370" s="54">
        <f t="shared" si="74"/>
        <v>1.8580100000000002</v>
      </c>
      <c r="H4370" s="73"/>
      <c r="I4370" s="74"/>
      <c r="J4370" s="156">
        <v>0</v>
      </c>
    </row>
    <row r="4371" spans="1:10" ht="26.25" hidden="1" thickBot="1" x14ac:dyDescent="0.3">
      <c r="A4371" s="227"/>
      <c r="B4371" s="225"/>
      <c r="C4371" s="36" t="s">
        <v>1013</v>
      </c>
      <c r="D4371" s="36" t="s">
        <v>759</v>
      </c>
      <c r="E4371" s="37">
        <v>0.11</v>
      </c>
      <c r="F4371" s="54">
        <v>21.622</v>
      </c>
      <c r="G4371" s="54">
        <f t="shared" si="74"/>
        <v>2.3784200000000002</v>
      </c>
      <c r="H4371" s="73"/>
      <c r="I4371" s="74"/>
      <c r="J4371" s="156">
        <v>0</v>
      </c>
    </row>
    <row r="4372" spans="1:10" ht="15.75" hidden="1" thickBot="1" x14ac:dyDescent="0.3">
      <c r="A4372" s="227"/>
      <c r="B4372" s="225"/>
      <c r="C4372" s="36" t="s">
        <v>1429</v>
      </c>
      <c r="D4372" s="36" t="s">
        <v>299</v>
      </c>
      <c r="E4372" s="37">
        <v>6.1999999999999998E-3</v>
      </c>
      <c r="F4372" s="54">
        <v>75.515499999999989</v>
      </c>
      <c r="G4372" s="54">
        <f t="shared" si="74"/>
        <v>0.46819609999999989</v>
      </c>
      <c r="H4372" s="73"/>
      <c r="I4372" s="74"/>
      <c r="J4372" s="156">
        <v>0</v>
      </c>
    </row>
    <row r="4373" spans="1:10" ht="26.25" hidden="1" thickBot="1" x14ac:dyDescent="0.3">
      <c r="A4373" s="227"/>
      <c r="B4373" s="225"/>
      <c r="C4373" s="36" t="s">
        <v>1430</v>
      </c>
      <c r="D4373" s="36" t="s">
        <v>527</v>
      </c>
      <c r="E4373" s="37">
        <f>1.04/2</f>
        <v>0.52</v>
      </c>
      <c r="F4373" s="54">
        <v>66.518999999999991</v>
      </c>
      <c r="G4373" s="54">
        <f t="shared" si="74"/>
        <v>34.589879999999994</v>
      </c>
      <c r="H4373" s="73"/>
      <c r="I4373" s="74"/>
      <c r="J4373" s="156">
        <v>0</v>
      </c>
    </row>
    <row r="4374" spans="1:10" ht="15.75" hidden="1" thickBot="1" x14ac:dyDescent="0.3">
      <c r="A4374" s="227"/>
      <c r="B4374" s="225"/>
      <c r="C4374" s="36" t="s">
        <v>1431</v>
      </c>
      <c r="D4374" s="36" t="s">
        <v>299</v>
      </c>
      <c r="E4374" s="37">
        <v>1.0200000000000001E-2</v>
      </c>
      <c r="F4374" s="54">
        <v>65.578499999999991</v>
      </c>
      <c r="G4374" s="54">
        <f t="shared" si="74"/>
        <v>0.6689006999999999</v>
      </c>
      <c r="H4374" s="73"/>
      <c r="I4374" s="74"/>
      <c r="J4374" s="156">
        <v>0</v>
      </c>
    </row>
    <row r="4375" spans="1:10" ht="15.75" hidden="1" thickBot="1" x14ac:dyDescent="0.3">
      <c r="A4375" s="227"/>
      <c r="B4375" s="225"/>
      <c r="C4375" s="36" t="s">
        <v>1268</v>
      </c>
      <c r="D4375" s="36" t="s">
        <v>299</v>
      </c>
      <c r="E4375" s="37">
        <v>3.6999999999999998E-2</v>
      </c>
      <c r="F4375" s="54">
        <v>1.9474999999999998</v>
      </c>
      <c r="G4375" s="54">
        <f t="shared" si="74"/>
        <v>7.2057499999999983E-2</v>
      </c>
      <c r="H4375" s="73"/>
      <c r="I4375" s="74"/>
      <c r="J4375" s="156">
        <v>0</v>
      </c>
    </row>
    <row r="4376" spans="1:10" ht="26.25" hidden="1" thickBot="1" x14ac:dyDescent="0.3">
      <c r="A4376" s="227"/>
      <c r="B4376" s="225"/>
      <c r="C4376" s="36" t="s">
        <v>1012</v>
      </c>
      <c r="D4376" s="36" t="s">
        <v>759</v>
      </c>
      <c r="E4376" s="37">
        <v>0.18</v>
      </c>
      <c r="F4376" s="54">
        <v>16.891000000000002</v>
      </c>
      <c r="G4376" s="54">
        <f t="shared" si="74"/>
        <v>3.0403800000000003</v>
      </c>
      <c r="H4376" s="73"/>
      <c r="I4376" s="74"/>
      <c r="J4376" s="156">
        <v>0</v>
      </c>
    </row>
    <row r="4377" spans="1:10" ht="26.25" hidden="1" thickBot="1" x14ac:dyDescent="0.3">
      <c r="A4377" s="227"/>
      <c r="B4377" s="225"/>
      <c r="C4377" s="36" t="s">
        <v>1013</v>
      </c>
      <c r="D4377" s="36" t="s">
        <v>759</v>
      </c>
      <c r="E4377" s="37">
        <v>0.18</v>
      </c>
      <c r="F4377" s="54">
        <v>21.622</v>
      </c>
      <c r="G4377" s="54">
        <f t="shared" ref="G4377:G4440" si="75">IF(ISNUMBER(F4377),E4377*F4377,"")</f>
        <v>3.8919599999999996</v>
      </c>
      <c r="H4377" s="73"/>
      <c r="I4377" s="74"/>
      <c r="J4377" s="156">
        <v>0</v>
      </c>
    </row>
    <row r="4378" spans="1:10" ht="15.75" hidden="1" thickBot="1" x14ac:dyDescent="0.3">
      <c r="A4378" s="227"/>
      <c r="B4378" s="225"/>
      <c r="C4378" s="36" t="s">
        <v>768</v>
      </c>
      <c r="D4378" s="47" t="s">
        <v>759</v>
      </c>
      <c r="E4378" s="37">
        <v>1</v>
      </c>
      <c r="F4378" s="54">
        <v>22.087499999999999</v>
      </c>
      <c r="G4378" s="54">
        <f t="shared" si="75"/>
        <v>22.087499999999999</v>
      </c>
      <c r="H4378" s="73"/>
      <c r="I4378" s="74"/>
      <c r="J4378" s="156">
        <v>0</v>
      </c>
    </row>
    <row r="4379" spans="1:10" ht="26.25" hidden="1" thickBot="1" x14ac:dyDescent="0.3">
      <c r="A4379" s="227"/>
      <c r="B4379" s="225"/>
      <c r="C4379" s="36" t="s">
        <v>833</v>
      </c>
      <c r="D4379" s="47" t="s">
        <v>957</v>
      </c>
      <c r="E4379" s="37">
        <f>ROUND(1.8*(PI()*(0.25-0.15)*0.1)*10,4)</f>
        <v>0.5655</v>
      </c>
      <c r="F4379" s="54">
        <v>37.030999999999999</v>
      </c>
      <c r="G4379" s="54">
        <f t="shared" si="75"/>
        <v>20.9410305</v>
      </c>
      <c r="H4379" s="73"/>
      <c r="I4379" s="74"/>
      <c r="J4379" s="156">
        <v>0</v>
      </c>
    </row>
    <row r="4380" spans="1:10" ht="26.25" hidden="1" thickBot="1" x14ac:dyDescent="0.3">
      <c r="A4380" s="227"/>
      <c r="B4380" s="225"/>
      <c r="C4380" s="36" t="s">
        <v>1124</v>
      </c>
      <c r="D4380" s="37" t="s">
        <v>1125</v>
      </c>
      <c r="E4380" s="37">
        <v>0.2</v>
      </c>
      <c r="F4380" s="54">
        <v>28.015499999999996</v>
      </c>
      <c r="G4380" s="54">
        <f t="shared" si="75"/>
        <v>5.6030999999999995</v>
      </c>
      <c r="H4380" s="73"/>
      <c r="I4380" s="74"/>
      <c r="J4380" s="156">
        <v>0</v>
      </c>
    </row>
    <row r="4381" spans="1:10" ht="15.75" hidden="1" thickBot="1" x14ac:dyDescent="0.3">
      <c r="A4381" s="227"/>
      <c r="B4381" s="225"/>
      <c r="C4381" s="36" t="s">
        <v>1432</v>
      </c>
      <c r="D4381" s="36" t="s">
        <v>299</v>
      </c>
      <c r="E4381" s="37">
        <v>1</v>
      </c>
      <c r="F4381" s="54">
        <v>57.085500000000003</v>
      </c>
      <c r="G4381" s="54">
        <f t="shared" si="75"/>
        <v>57.085500000000003</v>
      </c>
      <c r="H4381" s="73"/>
      <c r="I4381" s="74"/>
      <c r="J4381" s="156">
        <v>0</v>
      </c>
    </row>
    <row r="4382" spans="1:10" ht="15.75" hidden="1" thickBot="1" x14ac:dyDescent="0.3">
      <c r="A4382" s="227"/>
      <c r="B4382" s="225"/>
      <c r="C4382" s="36"/>
      <c r="D4382" s="36"/>
      <c r="E4382" s="37"/>
      <c r="F4382" s="54"/>
      <c r="G4382" s="54"/>
      <c r="H4382" s="73"/>
      <c r="I4382" s="74"/>
      <c r="J4382" s="156">
        <v>0</v>
      </c>
    </row>
    <row r="4383" spans="1:10" ht="15.75" hidden="1" thickBot="1" x14ac:dyDescent="0.3">
      <c r="A4383" s="227"/>
      <c r="B4383" s="225"/>
      <c r="C4383" s="48" t="s">
        <v>3633</v>
      </c>
      <c r="D4383" s="36"/>
      <c r="E4383" s="37"/>
      <c r="F4383" s="54"/>
      <c r="G4383" s="54"/>
      <c r="H4383" s="73"/>
      <c r="I4383" s="74"/>
      <c r="J4383" s="156">
        <v>0</v>
      </c>
    </row>
    <row r="4384" spans="1:10" ht="15.75" hidden="1" thickBot="1" x14ac:dyDescent="0.3">
      <c r="A4384" s="228"/>
      <c r="B4384" s="226"/>
      <c r="C4384" s="55"/>
      <c r="D4384" s="55"/>
      <c r="E4384" s="66"/>
      <c r="F4384" s="76" t="s">
        <v>572</v>
      </c>
      <c r="G4384" s="76" t="str">
        <f t="shared" ref="G4384:G4389" si="76">IF(ISNUMBER(F4384),E4384*F4384,"")</f>
        <v/>
      </c>
      <c r="H4384" s="77"/>
      <c r="I4384" s="74"/>
      <c r="J4384" s="156">
        <v>0</v>
      </c>
    </row>
    <row r="4385" spans="1:10" ht="15.75" hidden="1" thickBot="1" x14ac:dyDescent="0.3">
      <c r="A4385" s="221" t="s">
        <v>1433</v>
      </c>
      <c r="B4385" s="224" t="str">
        <f>INDEX(Orçamentária!A:B,MATCH(Composições!A4385,Orçamentária!A:A,0),2)</f>
        <v>Tratamento de Tubulação Passante para Impermeabilização</v>
      </c>
      <c r="C4385" s="41"/>
      <c r="D4385" s="26" t="str">
        <f>TRIM(INDEX(Orçamentária!C:C,MATCH(Composições!A4385,Orçamentária!A:A,0),1))</f>
        <v>un</v>
      </c>
      <c r="E4385" s="27"/>
      <c r="F4385" s="49" t="s">
        <v>572</v>
      </c>
      <c r="G4385" s="28" t="str">
        <f t="shared" si="76"/>
        <v/>
      </c>
      <c r="H4385" s="29"/>
      <c r="I4385" s="30"/>
      <c r="J4385" s="156">
        <v>0</v>
      </c>
    </row>
    <row r="4386" spans="1:10" ht="15.75" hidden="1" thickBot="1" x14ac:dyDescent="0.3">
      <c r="A4386" s="227"/>
      <c r="B4386" s="225"/>
      <c r="C4386" s="32"/>
      <c r="D4386" s="32"/>
      <c r="E4386" s="33"/>
      <c r="F4386" s="54" t="s">
        <v>572</v>
      </c>
      <c r="G4386" s="54" t="str">
        <f t="shared" si="76"/>
        <v/>
      </c>
      <c r="H4386" s="73"/>
      <c r="I4386" s="74"/>
      <c r="J4386" s="156">
        <v>0</v>
      </c>
    </row>
    <row r="4387" spans="1:10" ht="15.75" hidden="1" thickBot="1" x14ac:dyDescent="0.3">
      <c r="A4387" s="227"/>
      <c r="B4387" s="225"/>
      <c r="C4387" s="36" t="s">
        <v>1075</v>
      </c>
      <c r="D4387" s="36" t="s">
        <v>759</v>
      </c>
      <c r="E4387" s="37">
        <v>0.5</v>
      </c>
      <c r="F4387" s="54">
        <v>22.087499999999999</v>
      </c>
      <c r="G4387" s="54">
        <f t="shared" si="76"/>
        <v>11.043749999999999</v>
      </c>
      <c r="H4387" s="39">
        <f>SUM(G4387:G4389)</f>
        <v>37.587880499999997</v>
      </c>
      <c r="I4387" s="40"/>
      <c r="J4387" s="156">
        <v>0</v>
      </c>
    </row>
    <row r="4388" spans="1:10" ht="26.25" hidden="1" thickBot="1" x14ac:dyDescent="0.3">
      <c r="A4388" s="227"/>
      <c r="B4388" s="225"/>
      <c r="C4388" s="36" t="s">
        <v>833</v>
      </c>
      <c r="D4388" s="47" t="s">
        <v>957</v>
      </c>
      <c r="E4388" s="37">
        <f>ROUND(1.8*(PI()*(0.25-0.15)*0.1)*10,4)</f>
        <v>0.5655</v>
      </c>
      <c r="F4388" s="54">
        <v>37.030999999999999</v>
      </c>
      <c r="G4388" s="54">
        <f t="shared" si="76"/>
        <v>20.9410305</v>
      </c>
      <c r="H4388" s="73"/>
      <c r="I4388" s="74"/>
      <c r="J4388" s="156">
        <v>0</v>
      </c>
    </row>
    <row r="4389" spans="1:10" ht="26.25" hidden="1" thickBot="1" x14ac:dyDescent="0.3">
      <c r="A4389" s="227"/>
      <c r="B4389" s="225"/>
      <c r="C4389" s="36" t="s">
        <v>1124</v>
      </c>
      <c r="D4389" s="37" t="s">
        <v>1125</v>
      </c>
      <c r="E4389" s="37">
        <v>0.2</v>
      </c>
      <c r="F4389" s="54">
        <v>28.015499999999996</v>
      </c>
      <c r="G4389" s="54">
        <f t="shared" si="76"/>
        <v>5.6030999999999995</v>
      </c>
      <c r="H4389" s="73"/>
      <c r="I4389" s="74"/>
      <c r="J4389" s="156">
        <v>0</v>
      </c>
    </row>
    <row r="4390" spans="1:10" ht="15.75" hidden="1" thickBot="1" x14ac:dyDescent="0.3">
      <c r="A4390" s="227"/>
      <c r="B4390" s="225"/>
      <c r="C4390" s="36"/>
      <c r="D4390" s="37"/>
      <c r="E4390" s="37"/>
      <c r="F4390" s="54"/>
      <c r="G4390" s="54"/>
      <c r="H4390" s="73"/>
      <c r="I4390" s="74"/>
      <c r="J4390" s="156">
        <v>0</v>
      </c>
    </row>
    <row r="4391" spans="1:10" ht="15.75" hidden="1" thickBot="1" x14ac:dyDescent="0.3">
      <c r="A4391" s="227"/>
      <c r="B4391" s="225"/>
      <c r="C4391" s="48" t="s">
        <v>3633</v>
      </c>
      <c r="D4391" s="37"/>
      <c r="E4391" s="37"/>
      <c r="F4391" s="54"/>
      <c r="G4391" s="54"/>
      <c r="H4391" s="73"/>
      <c r="I4391" s="74"/>
      <c r="J4391" s="156">
        <v>0</v>
      </c>
    </row>
    <row r="4392" spans="1:10" ht="15.75" hidden="1" thickBot="1" x14ac:dyDescent="0.3">
      <c r="A4392" s="228"/>
      <c r="B4392" s="226"/>
      <c r="C4392" s="55"/>
      <c r="D4392" s="55"/>
      <c r="E4392" s="66"/>
      <c r="F4392" s="76" t="s">
        <v>572</v>
      </c>
      <c r="G4392" s="76" t="str">
        <f t="shared" ref="G4392:G4455" si="77">IF(ISNUMBER(F4392),E4392*F4392,"")</f>
        <v/>
      </c>
      <c r="H4392" s="77"/>
      <c r="I4392" s="74"/>
      <c r="J4392" s="156">
        <v>0</v>
      </c>
    </row>
    <row r="4393" spans="1:10" ht="15.75" hidden="1" thickBot="1" x14ac:dyDescent="0.3">
      <c r="A4393" s="221" t="s">
        <v>1434</v>
      </c>
      <c r="B4393" s="224" t="str">
        <f>INDEX(Orçamentária!A:B,MATCH(Composições!A4393,Orçamentária!A:A,0),2)</f>
        <v>Regularização de substrato para Impermeabilização - 3cm</v>
      </c>
      <c r="C4393" s="41"/>
      <c r="D4393" s="26" t="str">
        <f>TRIM(INDEX(Orçamentária!C:C,MATCH(Composições!A4393,Orçamentária!A:A,0),1))</f>
        <v>m2</v>
      </c>
      <c r="E4393" s="27"/>
      <c r="F4393" s="49" t="s">
        <v>572</v>
      </c>
      <c r="G4393" s="28" t="str">
        <f t="shared" si="77"/>
        <v/>
      </c>
      <c r="H4393" s="29"/>
      <c r="I4393" s="30"/>
      <c r="J4393" s="156">
        <v>0</v>
      </c>
    </row>
    <row r="4394" spans="1:10" ht="15.75" hidden="1" thickBot="1" x14ac:dyDescent="0.3">
      <c r="A4394" s="227"/>
      <c r="B4394" s="225"/>
      <c r="C4394" s="32"/>
      <c r="D4394" s="32"/>
      <c r="E4394" s="33"/>
      <c r="F4394" s="54" t="s">
        <v>572</v>
      </c>
      <c r="G4394" s="54" t="str">
        <f t="shared" si="77"/>
        <v/>
      </c>
      <c r="H4394" s="73"/>
      <c r="I4394" s="74"/>
      <c r="J4394" s="156">
        <v>0</v>
      </c>
    </row>
    <row r="4395" spans="1:10" ht="15.75" hidden="1" thickBot="1" x14ac:dyDescent="0.3">
      <c r="A4395" s="227"/>
      <c r="B4395" s="225"/>
      <c r="C4395" s="36" t="s">
        <v>805</v>
      </c>
      <c r="D4395" s="36" t="s">
        <v>957</v>
      </c>
      <c r="E4395" s="37">
        <v>0.5</v>
      </c>
      <c r="F4395" s="54">
        <v>0.47499999999999998</v>
      </c>
      <c r="G4395" s="54">
        <f t="shared" si="77"/>
        <v>0.23749999999999999</v>
      </c>
      <c r="H4395" s="39">
        <f>SUM(G4395:G4399)</f>
        <v>36.233734439391199</v>
      </c>
      <c r="I4395" s="40"/>
      <c r="J4395" s="156">
        <v>0</v>
      </c>
    </row>
    <row r="4396" spans="1:10" ht="26.25" hidden="1" thickBot="1" x14ac:dyDescent="0.3">
      <c r="A4396" s="227"/>
      <c r="B4396" s="225"/>
      <c r="C4396" s="36" t="s">
        <v>1435</v>
      </c>
      <c r="D4396" s="36" t="s">
        <v>105</v>
      </c>
      <c r="E4396" s="37">
        <v>0.435</v>
      </c>
      <c r="F4396" s="54">
        <v>12.112499999999999</v>
      </c>
      <c r="G4396" s="54">
        <f t="shared" si="77"/>
        <v>5.2689374999999998</v>
      </c>
      <c r="H4396" s="73"/>
      <c r="I4396" s="74"/>
      <c r="J4396" s="156">
        <v>0</v>
      </c>
    </row>
    <row r="4397" spans="1:10" ht="39" hidden="1" thickBot="1" x14ac:dyDescent="0.3">
      <c r="A4397" s="227"/>
      <c r="B4397" s="225"/>
      <c r="C4397" s="36" t="s">
        <v>1436</v>
      </c>
      <c r="D4397" s="36" t="s">
        <v>124</v>
      </c>
      <c r="E4397" s="37">
        <v>4.3099999999999999E-2</v>
      </c>
      <c r="F4397" s="54">
        <v>481.36947655199998</v>
      </c>
      <c r="G4397" s="54">
        <f t="shared" si="77"/>
        <v>20.7470244393912</v>
      </c>
      <c r="H4397" s="73"/>
      <c r="I4397" s="74"/>
      <c r="J4397" s="156">
        <v>0</v>
      </c>
    </row>
    <row r="4398" spans="1:10" ht="15.75" hidden="1" thickBot="1" x14ac:dyDescent="0.3">
      <c r="A4398" s="227"/>
      <c r="B4398" s="225"/>
      <c r="C4398" s="36" t="s">
        <v>768</v>
      </c>
      <c r="D4398" s="47" t="s">
        <v>759</v>
      </c>
      <c r="E4398" s="37">
        <v>0.33</v>
      </c>
      <c r="F4398" s="54">
        <v>22.087499999999999</v>
      </c>
      <c r="G4398" s="54">
        <f t="shared" si="77"/>
        <v>7.288875</v>
      </c>
      <c r="H4398" s="73"/>
      <c r="I4398" s="74"/>
      <c r="J4398" s="156">
        <v>0</v>
      </c>
    </row>
    <row r="4399" spans="1:10" ht="15.75" hidden="1" thickBot="1" x14ac:dyDescent="0.3">
      <c r="A4399" s="227"/>
      <c r="B4399" s="225"/>
      <c r="C4399" s="36" t="s">
        <v>760</v>
      </c>
      <c r="D4399" s="36" t="s">
        <v>759</v>
      </c>
      <c r="E4399" s="37">
        <v>0.16500000000000001</v>
      </c>
      <c r="F4399" s="54">
        <v>16.311500000000002</v>
      </c>
      <c r="G4399" s="54">
        <f t="shared" si="77"/>
        <v>2.6913975000000003</v>
      </c>
      <c r="H4399" s="73"/>
      <c r="I4399" s="74"/>
      <c r="J4399" s="156">
        <v>0</v>
      </c>
    </row>
    <row r="4400" spans="1:10" ht="15.75" hidden="1" thickBot="1" x14ac:dyDescent="0.3">
      <c r="A4400" s="227"/>
      <c r="B4400" s="225"/>
      <c r="C4400" s="36"/>
      <c r="D4400" s="36"/>
      <c r="E4400" s="37"/>
      <c r="F4400" s="54" t="s">
        <v>572</v>
      </c>
      <c r="G4400" s="54" t="str">
        <f t="shared" si="77"/>
        <v/>
      </c>
      <c r="H4400" s="73"/>
      <c r="I4400" s="74"/>
      <c r="J4400" s="156">
        <v>0</v>
      </c>
    </row>
    <row r="4401" spans="1:10" ht="15.75" hidden="1" thickBot="1" x14ac:dyDescent="0.3">
      <c r="A4401" s="221" t="s">
        <v>1437</v>
      </c>
      <c r="B4401" s="224" t="str">
        <f>INDEX(Orçamentária!A:B,MATCH(Composições!A4401,Orçamentária!A:A,0),2)</f>
        <v>Regularização de substrato para Impermeabilização - 6cm</v>
      </c>
      <c r="C4401" s="41"/>
      <c r="D4401" s="26" t="str">
        <f>TRIM(INDEX(Orçamentária!C:C,MATCH(Composições!A4401,Orçamentária!A:A,0),1))</f>
        <v>m2</v>
      </c>
      <c r="E4401" s="27"/>
      <c r="F4401" s="49" t="s">
        <v>572</v>
      </c>
      <c r="G4401" s="28" t="str">
        <f t="shared" si="77"/>
        <v/>
      </c>
      <c r="H4401" s="29"/>
      <c r="I4401" s="30"/>
      <c r="J4401" s="156">
        <v>0</v>
      </c>
    </row>
    <row r="4402" spans="1:10" ht="15.75" hidden="1" thickBot="1" x14ac:dyDescent="0.3">
      <c r="A4402" s="227"/>
      <c r="B4402" s="225"/>
      <c r="C4402" s="32"/>
      <c r="D4402" s="32"/>
      <c r="E4402" s="33"/>
      <c r="F4402" s="54" t="s">
        <v>572</v>
      </c>
      <c r="G4402" s="54" t="str">
        <f t="shared" si="77"/>
        <v/>
      </c>
      <c r="H4402" s="73"/>
      <c r="I4402" s="74"/>
      <c r="J4402" s="156">
        <v>0</v>
      </c>
    </row>
    <row r="4403" spans="1:10" ht="15.75" hidden="1" thickBot="1" x14ac:dyDescent="0.3">
      <c r="A4403" s="227"/>
      <c r="B4403" s="225"/>
      <c r="C4403" s="36" t="s">
        <v>768</v>
      </c>
      <c r="D4403" s="36" t="s">
        <v>12</v>
      </c>
      <c r="E4403" s="37">
        <v>0.38</v>
      </c>
      <c r="F4403" s="54">
        <v>22.087499999999999</v>
      </c>
      <c r="G4403" s="54">
        <f t="shared" si="77"/>
        <v>8.3932500000000001</v>
      </c>
      <c r="H4403" s="39">
        <f>SUM(G4403:G4405)</f>
        <v>43.229399900087202</v>
      </c>
      <c r="I4403" s="40"/>
      <c r="J4403" s="156">
        <v>0</v>
      </c>
    </row>
    <row r="4404" spans="1:10" ht="15.75" hidden="1" thickBot="1" x14ac:dyDescent="0.3">
      <c r="A4404" s="227"/>
      <c r="B4404" s="225"/>
      <c r="C4404" s="36" t="s">
        <v>760</v>
      </c>
      <c r="D4404" s="36" t="s">
        <v>12</v>
      </c>
      <c r="E4404" s="37">
        <v>0.185</v>
      </c>
      <c r="F4404" s="54">
        <v>16.311500000000002</v>
      </c>
      <c r="G4404" s="54">
        <f t="shared" si="77"/>
        <v>3.0176275000000006</v>
      </c>
      <c r="H4404" s="73"/>
      <c r="I4404" s="74"/>
      <c r="J4404" s="156">
        <v>0</v>
      </c>
    </row>
    <row r="4405" spans="1:10" ht="39" hidden="1" thickBot="1" x14ac:dyDescent="0.3">
      <c r="A4405" s="227"/>
      <c r="B4405" s="225"/>
      <c r="C4405" s="36" t="s">
        <v>1436</v>
      </c>
      <c r="D4405" s="36" t="s">
        <v>124</v>
      </c>
      <c r="E4405" s="37">
        <v>6.6100000000000006E-2</v>
      </c>
      <c r="F4405" s="54">
        <v>481.36947655199998</v>
      </c>
      <c r="G4405" s="54">
        <f t="shared" si="77"/>
        <v>31.8185224000872</v>
      </c>
      <c r="H4405" s="73"/>
      <c r="I4405" s="74"/>
      <c r="J4405" s="156">
        <v>0</v>
      </c>
    </row>
    <row r="4406" spans="1:10" ht="15.75" hidden="1" thickBot="1" x14ac:dyDescent="0.3">
      <c r="A4406" s="228"/>
      <c r="B4406" s="226"/>
      <c r="C4406" s="55"/>
      <c r="D4406" s="55"/>
      <c r="E4406" s="66"/>
      <c r="F4406" s="76" t="s">
        <v>572</v>
      </c>
      <c r="G4406" s="76" t="str">
        <f t="shared" si="77"/>
        <v/>
      </c>
      <c r="H4406" s="77"/>
      <c r="I4406" s="74"/>
      <c r="J4406" s="156">
        <v>0</v>
      </c>
    </row>
    <row r="4407" spans="1:10" ht="15.75" hidden="1" thickBot="1" x14ac:dyDescent="0.3">
      <c r="A4407" s="221" t="s">
        <v>1438</v>
      </c>
      <c r="B4407" s="224" t="str">
        <f>INDEX(Orçamentária!A:B,MATCH(Composições!A4407,Orçamentária!A:A,0),2)</f>
        <v>Camada Separadora para Impermeabilização</v>
      </c>
      <c r="C4407" s="41"/>
      <c r="D4407" s="26" t="str">
        <f>TRIM(INDEX(Orçamentária!C:C,MATCH(Composições!A4407,Orçamentária!A:A,0),1))</f>
        <v>m2</v>
      </c>
      <c r="E4407" s="27"/>
      <c r="F4407" s="49" t="s">
        <v>572</v>
      </c>
      <c r="G4407" s="28" t="str">
        <f t="shared" si="77"/>
        <v/>
      </c>
      <c r="H4407" s="29"/>
      <c r="I4407" s="30"/>
      <c r="J4407" s="156">
        <v>0</v>
      </c>
    </row>
    <row r="4408" spans="1:10" ht="15.75" hidden="1" thickBot="1" x14ac:dyDescent="0.3">
      <c r="A4408" s="227"/>
      <c r="B4408" s="225"/>
      <c r="C4408" s="32"/>
      <c r="D4408" s="32"/>
      <c r="E4408" s="33"/>
      <c r="F4408" s="54" t="s">
        <v>572</v>
      </c>
      <c r="G4408" s="54" t="str">
        <f t="shared" si="77"/>
        <v/>
      </c>
      <c r="H4408" s="73"/>
      <c r="I4408" s="74"/>
      <c r="J4408" s="156">
        <v>0</v>
      </c>
    </row>
    <row r="4409" spans="1:10" ht="15.75" hidden="1" thickBot="1" x14ac:dyDescent="0.3">
      <c r="A4409" s="227"/>
      <c r="B4409" s="225"/>
      <c r="C4409" s="36" t="s">
        <v>760</v>
      </c>
      <c r="D4409" s="36" t="s">
        <v>759</v>
      </c>
      <c r="E4409" s="37">
        <v>0.01</v>
      </c>
      <c r="F4409" s="54">
        <v>16.311500000000002</v>
      </c>
      <c r="G4409" s="54">
        <f t="shared" si="77"/>
        <v>0.16311500000000004</v>
      </c>
      <c r="H4409" s="39">
        <f>SUM(G4409:G4410)</f>
        <v>5.3045150000000003</v>
      </c>
      <c r="I4409" s="40"/>
      <c r="J4409" s="156">
        <v>0</v>
      </c>
    </row>
    <row r="4410" spans="1:10" ht="26.25" hidden="1" thickBot="1" x14ac:dyDescent="0.3">
      <c r="A4410" s="227"/>
      <c r="B4410" s="225"/>
      <c r="C4410" s="36" t="s">
        <v>1439</v>
      </c>
      <c r="D4410" s="36" t="s">
        <v>96</v>
      </c>
      <c r="E4410" s="37">
        <v>1.1000000000000001</v>
      </c>
      <c r="F4410" s="54">
        <v>4.6739999999999995</v>
      </c>
      <c r="G4410" s="54">
        <f t="shared" si="77"/>
        <v>5.1414</v>
      </c>
      <c r="H4410" s="73"/>
      <c r="I4410" s="74"/>
      <c r="J4410" s="156">
        <v>0</v>
      </c>
    </row>
    <row r="4411" spans="1:10" ht="15.75" hidden="1" thickBot="1" x14ac:dyDescent="0.3">
      <c r="A4411" s="228"/>
      <c r="B4411" s="226"/>
      <c r="C4411" s="55"/>
      <c r="D4411" s="55"/>
      <c r="E4411" s="66"/>
      <c r="F4411" s="76" t="s">
        <v>572</v>
      </c>
      <c r="G4411" s="76" t="str">
        <f t="shared" si="77"/>
        <v/>
      </c>
      <c r="H4411" s="77"/>
      <c r="I4411" s="74"/>
      <c r="J4411" s="156">
        <v>0</v>
      </c>
    </row>
    <row r="4412" spans="1:10" ht="15.75" hidden="1" thickBot="1" x14ac:dyDescent="0.3">
      <c r="A4412" s="221" t="s">
        <v>1440</v>
      </c>
      <c r="B4412" s="224" t="str">
        <f>INDEX(Orçamentária!A:B,MATCH(Composições!A4412,Orçamentária!A:A,0),2)</f>
        <v>Camada de Proteção Térmica para Impermeabilização</v>
      </c>
      <c r="C4412" s="41"/>
      <c r="D4412" s="26" t="str">
        <f>TRIM(INDEX(Orçamentária!C:C,MATCH(Composições!A4412,Orçamentária!A:A,0),1))</f>
        <v>m2</v>
      </c>
      <c r="E4412" s="27"/>
      <c r="F4412" s="49" t="s">
        <v>572</v>
      </c>
      <c r="G4412" s="28" t="str">
        <f t="shared" si="77"/>
        <v/>
      </c>
      <c r="H4412" s="29"/>
      <c r="I4412" s="30"/>
      <c r="J4412" s="156">
        <v>0</v>
      </c>
    </row>
    <row r="4413" spans="1:10" ht="15.75" hidden="1" thickBot="1" x14ac:dyDescent="0.3">
      <c r="A4413" s="227"/>
      <c r="B4413" s="225"/>
      <c r="C4413" s="32"/>
      <c r="D4413" s="32"/>
      <c r="E4413" s="33"/>
      <c r="F4413" s="54" t="s">
        <v>572</v>
      </c>
      <c r="G4413" s="54" t="str">
        <f t="shared" si="77"/>
        <v/>
      </c>
      <c r="H4413" s="73"/>
      <c r="I4413" s="74"/>
      <c r="J4413" s="156">
        <v>0</v>
      </c>
    </row>
    <row r="4414" spans="1:10" ht="15.75" hidden="1" thickBot="1" x14ac:dyDescent="0.3">
      <c r="A4414" s="227"/>
      <c r="B4414" s="225"/>
      <c r="C4414" s="36" t="s">
        <v>760</v>
      </c>
      <c r="D4414" s="36" t="s">
        <v>759</v>
      </c>
      <c r="E4414" s="37">
        <v>0.05</v>
      </c>
      <c r="F4414" s="54">
        <v>16.311500000000002</v>
      </c>
      <c r="G4414" s="54">
        <f t="shared" si="77"/>
        <v>0.81557500000000016</v>
      </c>
      <c r="H4414" s="39">
        <f>SUM(G4414:G4415)</f>
        <v>10.042450000000001</v>
      </c>
      <c r="I4414" s="40"/>
      <c r="J4414" s="156">
        <v>0</v>
      </c>
    </row>
    <row r="4415" spans="1:10" ht="26.25" hidden="1" thickBot="1" x14ac:dyDescent="0.3">
      <c r="A4415" s="227"/>
      <c r="B4415" s="225"/>
      <c r="C4415" s="36" t="s">
        <v>1441</v>
      </c>
      <c r="D4415" s="36" t="s">
        <v>96</v>
      </c>
      <c r="E4415" s="37">
        <v>1.05</v>
      </c>
      <c r="F4415" s="54">
        <v>8.7874999999999996</v>
      </c>
      <c r="G4415" s="54">
        <f t="shared" si="77"/>
        <v>9.2268749999999997</v>
      </c>
      <c r="H4415" s="73"/>
      <c r="I4415" s="74"/>
      <c r="J4415" s="156">
        <v>0</v>
      </c>
    </row>
    <row r="4416" spans="1:10" ht="15.75" hidden="1" thickBot="1" x14ac:dyDescent="0.3">
      <c r="A4416" s="228"/>
      <c r="B4416" s="226"/>
      <c r="C4416" s="55"/>
      <c r="D4416" s="55"/>
      <c r="E4416" s="66"/>
      <c r="F4416" s="76" t="s">
        <v>572</v>
      </c>
      <c r="G4416" s="76" t="str">
        <f t="shared" si="77"/>
        <v/>
      </c>
      <c r="H4416" s="77"/>
      <c r="I4416" s="74"/>
      <c r="J4416" s="156">
        <v>0</v>
      </c>
    </row>
    <row r="4417" spans="1:10" ht="15.75" hidden="1" thickBot="1" x14ac:dyDescent="0.3">
      <c r="A4417" s="221" t="s">
        <v>1442</v>
      </c>
      <c r="B4417" s="224" t="str">
        <f>INDEX(Orçamentária!A:B,MATCH(Composições!A4417,Orçamentária!A:A,0),2)</f>
        <v>Camada de Amortecimento para Impermeabilização</v>
      </c>
      <c r="C4417" s="41"/>
      <c r="D4417" s="26" t="str">
        <f>TRIM(INDEX(Orçamentária!C:C,MATCH(Composições!A4417,Orçamentária!A:A,0),1))</f>
        <v>m2</v>
      </c>
      <c r="E4417" s="27"/>
      <c r="F4417" s="49" t="s">
        <v>572</v>
      </c>
      <c r="G4417" s="28" t="str">
        <f t="shared" si="77"/>
        <v/>
      </c>
      <c r="H4417" s="29"/>
      <c r="I4417" s="30"/>
      <c r="J4417" s="156">
        <v>0</v>
      </c>
    </row>
    <row r="4418" spans="1:10" ht="15.75" hidden="1" thickBot="1" x14ac:dyDescent="0.3">
      <c r="A4418" s="227"/>
      <c r="B4418" s="225"/>
      <c r="C4418" s="32"/>
      <c r="D4418" s="32"/>
      <c r="E4418" s="33"/>
      <c r="F4418" s="54" t="s">
        <v>572</v>
      </c>
      <c r="G4418" s="54" t="str">
        <f t="shared" si="77"/>
        <v/>
      </c>
      <c r="H4418" s="73"/>
      <c r="I4418" s="74"/>
      <c r="J4418" s="156">
        <v>0</v>
      </c>
    </row>
    <row r="4419" spans="1:10" ht="15.75" hidden="1" thickBot="1" x14ac:dyDescent="0.3">
      <c r="A4419" s="227"/>
      <c r="B4419" s="225"/>
      <c r="C4419" s="36" t="s">
        <v>768</v>
      </c>
      <c r="D4419" s="36" t="s">
        <v>12</v>
      </c>
      <c r="E4419" s="37">
        <v>0.28999999999999998</v>
      </c>
      <c r="F4419" s="54">
        <v>22.087499999999999</v>
      </c>
      <c r="G4419" s="54">
        <f t="shared" si="77"/>
        <v>6.4053749999999994</v>
      </c>
      <c r="H4419" s="39">
        <f>SUM(G4419:G4421)</f>
        <v>23.412883151772</v>
      </c>
      <c r="I4419" s="40"/>
      <c r="J4419" s="156">
        <v>0</v>
      </c>
    </row>
    <row r="4420" spans="1:10" ht="15.75" hidden="1" thickBot="1" x14ac:dyDescent="0.3">
      <c r="A4420" s="227"/>
      <c r="B4420" s="225"/>
      <c r="C4420" s="36" t="s">
        <v>760</v>
      </c>
      <c r="D4420" s="36" t="s">
        <v>12</v>
      </c>
      <c r="E4420" s="37">
        <v>0.14499999999999999</v>
      </c>
      <c r="F4420" s="54">
        <v>16.311500000000002</v>
      </c>
      <c r="G4420" s="54">
        <f t="shared" si="77"/>
        <v>2.3651675000000001</v>
      </c>
      <c r="H4420" s="73"/>
      <c r="I4420" s="74"/>
      <c r="J4420" s="156">
        <v>0</v>
      </c>
    </row>
    <row r="4421" spans="1:10" ht="51.75" hidden="1" thickBot="1" x14ac:dyDescent="0.3">
      <c r="A4421" s="227"/>
      <c r="B4421" s="225"/>
      <c r="C4421" s="36" t="s">
        <v>160</v>
      </c>
      <c r="D4421" s="36" t="s">
        <v>124</v>
      </c>
      <c r="E4421" s="37">
        <v>3.1E-2</v>
      </c>
      <c r="F4421" s="54">
        <v>472.33356941199997</v>
      </c>
      <c r="G4421" s="54">
        <f t="shared" si="77"/>
        <v>14.642340651771999</v>
      </c>
      <c r="H4421" s="73"/>
      <c r="I4421" s="74"/>
      <c r="J4421" s="156">
        <v>0</v>
      </c>
    </row>
    <row r="4422" spans="1:10" ht="15.75" hidden="1" thickBot="1" x14ac:dyDescent="0.3">
      <c r="A4422" s="228"/>
      <c r="B4422" s="226"/>
      <c r="C4422" s="55"/>
      <c r="D4422" s="55"/>
      <c r="E4422" s="66"/>
      <c r="F4422" s="76" t="s">
        <v>572</v>
      </c>
      <c r="G4422" s="76" t="str">
        <f t="shared" si="77"/>
        <v/>
      </c>
      <c r="H4422" s="77"/>
      <c r="I4422" s="74"/>
      <c r="J4422" s="156">
        <v>0</v>
      </c>
    </row>
    <row r="4423" spans="1:10" ht="15.75" hidden="1" thickBot="1" x14ac:dyDescent="0.3">
      <c r="A4423" s="221" t="s">
        <v>1443</v>
      </c>
      <c r="B4423" s="224" t="str">
        <f>INDEX(Orçamentária!A:B,MATCH(Composições!A4423,Orçamentária!A:A,0),2)</f>
        <v>Camada de Proteção Mecânica em Placas de Impermeabilização</v>
      </c>
      <c r="C4423" s="41"/>
      <c r="D4423" s="26" t="str">
        <f>TRIM(INDEX(Orçamentária!C:C,MATCH(Composições!A4423,Orçamentária!A:A,0),1))</f>
        <v>m2</v>
      </c>
      <c r="E4423" s="27"/>
      <c r="F4423" s="49" t="s">
        <v>572</v>
      </c>
      <c r="G4423" s="28" t="str">
        <f t="shared" si="77"/>
        <v/>
      </c>
      <c r="H4423" s="29"/>
      <c r="I4423" s="30"/>
      <c r="J4423" s="156">
        <v>0</v>
      </c>
    </row>
    <row r="4424" spans="1:10" ht="15.75" hidden="1" thickBot="1" x14ac:dyDescent="0.3">
      <c r="A4424" s="227"/>
      <c r="B4424" s="225"/>
      <c r="C4424" s="32"/>
      <c r="D4424" s="32"/>
      <c r="E4424" s="33"/>
      <c r="F4424" s="54" t="s">
        <v>572</v>
      </c>
      <c r="G4424" s="54" t="str">
        <f t="shared" si="77"/>
        <v/>
      </c>
      <c r="H4424" s="73"/>
      <c r="I4424" s="74"/>
      <c r="J4424" s="156">
        <v>0</v>
      </c>
    </row>
    <row r="4425" spans="1:10" ht="15.75" hidden="1" thickBot="1" x14ac:dyDescent="0.3">
      <c r="A4425" s="227"/>
      <c r="B4425" s="225"/>
      <c r="C4425" s="36" t="s">
        <v>1077</v>
      </c>
      <c r="D4425" s="36" t="s">
        <v>1053</v>
      </c>
      <c r="E4425" s="37">
        <v>1.04</v>
      </c>
      <c r="F4425" s="54">
        <v>1.2825</v>
      </c>
      <c r="G4425" s="54">
        <f t="shared" si="77"/>
        <v>1.3338000000000001</v>
      </c>
      <c r="H4425" s="39">
        <f>SUM(G4425:G4429)</f>
        <v>68.4341542385</v>
      </c>
      <c r="I4425" s="40"/>
      <c r="J4425" s="156">
        <v>0</v>
      </c>
    </row>
    <row r="4426" spans="1:10" ht="26.25" hidden="1" thickBot="1" x14ac:dyDescent="0.3">
      <c r="A4426" s="227"/>
      <c r="B4426" s="225"/>
      <c r="C4426" s="36" t="s">
        <v>1078</v>
      </c>
      <c r="D4426" s="36" t="s">
        <v>124</v>
      </c>
      <c r="E4426" s="37">
        <v>4.3999999999999997E-2</v>
      </c>
      <c r="F4426" s="54">
        <v>623.68605087499998</v>
      </c>
      <c r="G4426" s="54">
        <f t="shared" si="77"/>
        <v>27.442186238499996</v>
      </c>
      <c r="H4426" s="73"/>
      <c r="I4426" s="74"/>
      <c r="J4426" s="156">
        <v>0</v>
      </c>
    </row>
    <row r="4427" spans="1:10" ht="15.75" hidden="1" thickBot="1" x14ac:dyDescent="0.3">
      <c r="A4427" s="227"/>
      <c r="B4427" s="225"/>
      <c r="C4427" s="36" t="s">
        <v>768</v>
      </c>
      <c r="D4427" s="36" t="s">
        <v>759</v>
      </c>
      <c r="E4427" s="37">
        <v>0.89900000000000002</v>
      </c>
      <c r="F4427" s="54">
        <v>22.087499999999999</v>
      </c>
      <c r="G4427" s="54">
        <f t="shared" si="77"/>
        <v>19.856662499999999</v>
      </c>
      <c r="H4427" s="73"/>
      <c r="I4427" s="74"/>
      <c r="J4427" s="156">
        <v>0</v>
      </c>
    </row>
    <row r="4428" spans="1:10" ht="15.75" hidden="1" thickBot="1" x14ac:dyDescent="0.3">
      <c r="A4428" s="227"/>
      <c r="B4428" s="225"/>
      <c r="C4428" s="36" t="s">
        <v>760</v>
      </c>
      <c r="D4428" s="36" t="s">
        <v>759</v>
      </c>
      <c r="E4428" s="37">
        <v>0.182</v>
      </c>
      <c r="F4428" s="54">
        <v>16.311500000000002</v>
      </c>
      <c r="G4428" s="54">
        <f t="shared" si="77"/>
        <v>2.9686930000000005</v>
      </c>
      <c r="H4428" s="73"/>
      <c r="I4428" s="74"/>
      <c r="J4428" s="156">
        <v>0</v>
      </c>
    </row>
    <row r="4429" spans="1:10" ht="39" hidden="1" thickBot="1" x14ac:dyDescent="0.3">
      <c r="A4429" s="227"/>
      <c r="B4429" s="225"/>
      <c r="C4429" s="36" t="s">
        <v>1073</v>
      </c>
      <c r="D4429" s="36" t="s">
        <v>957</v>
      </c>
      <c r="E4429" s="37">
        <f>0.15*2.5*(6/2)</f>
        <v>1.125</v>
      </c>
      <c r="F4429" s="54">
        <v>14.962499999999999</v>
      </c>
      <c r="G4429" s="54">
        <f t="shared" si="77"/>
        <v>16.832812499999999</v>
      </c>
      <c r="H4429" s="73"/>
      <c r="I4429" s="74"/>
      <c r="J4429" s="156">
        <v>0</v>
      </c>
    </row>
    <row r="4430" spans="1:10" ht="15.75" hidden="1" thickBot="1" x14ac:dyDescent="0.3">
      <c r="A4430" s="227"/>
      <c r="B4430" s="225"/>
      <c r="C4430" s="36"/>
      <c r="D4430" s="36"/>
      <c r="E4430" s="37"/>
      <c r="F4430" s="54" t="s">
        <v>572</v>
      </c>
      <c r="G4430" s="54" t="str">
        <f t="shared" si="77"/>
        <v/>
      </c>
      <c r="H4430" s="73"/>
      <c r="I4430" s="74"/>
      <c r="J4430" s="156">
        <v>0</v>
      </c>
    </row>
    <row r="4431" spans="1:10" ht="15.75" hidden="1" thickBot="1" x14ac:dyDescent="0.3">
      <c r="A4431" s="221" t="s">
        <v>1444</v>
      </c>
      <c r="B4431" s="224" t="str">
        <f>INDEX(Orçamentária!A:B,MATCH(Composições!A4431,Orçamentária!A:A,0),2)</f>
        <v>Pintura Inibidora de Raízes em Estrutura Impermeabilizada</v>
      </c>
      <c r="C4431" s="41"/>
      <c r="D4431" s="26" t="str">
        <f>TRIM(INDEX(Orçamentária!C:C,MATCH(Composições!A4431,Orçamentária!A:A,0),1))</f>
        <v>m2</v>
      </c>
      <c r="E4431" s="27"/>
      <c r="F4431" s="49" t="s">
        <v>572</v>
      </c>
      <c r="G4431" s="28" t="str">
        <f t="shared" si="77"/>
        <v/>
      </c>
      <c r="H4431" s="29"/>
      <c r="I4431" s="30"/>
      <c r="J4431" s="156">
        <v>0</v>
      </c>
    </row>
    <row r="4432" spans="1:10" ht="15.75" hidden="1" thickBot="1" x14ac:dyDescent="0.3">
      <c r="A4432" s="227"/>
      <c r="B4432" s="225"/>
      <c r="C4432" s="32"/>
      <c r="D4432" s="32"/>
      <c r="E4432" s="33"/>
      <c r="F4432" s="54" t="s">
        <v>572</v>
      </c>
      <c r="G4432" s="54" t="str">
        <f t="shared" si="77"/>
        <v/>
      </c>
      <c r="H4432" s="73"/>
      <c r="I4432" s="74"/>
      <c r="J4432" s="156">
        <v>0</v>
      </c>
    </row>
    <row r="4433" spans="1:10" ht="15.75" hidden="1" thickBot="1" x14ac:dyDescent="0.3">
      <c r="A4433" s="227"/>
      <c r="B4433" s="225"/>
      <c r="C4433" s="36" t="s">
        <v>1445</v>
      </c>
      <c r="D4433" s="36" t="s">
        <v>105</v>
      </c>
      <c r="E4433" s="37">
        <v>1</v>
      </c>
      <c r="F4433" s="54" t="s">
        <v>572</v>
      </c>
      <c r="G4433" s="54" t="str">
        <f t="shared" si="77"/>
        <v/>
      </c>
      <c r="H4433" s="39">
        <f>SUM(G4433:G4435)</f>
        <v>11.80185</v>
      </c>
      <c r="I4433" s="40"/>
      <c r="J4433" s="156">
        <v>0</v>
      </c>
    </row>
    <row r="4434" spans="1:10" ht="15.75" hidden="1" thickBot="1" x14ac:dyDescent="0.3">
      <c r="A4434" s="227"/>
      <c r="B4434" s="225"/>
      <c r="C4434" s="36" t="s">
        <v>1156</v>
      </c>
      <c r="D4434" s="36" t="s">
        <v>759</v>
      </c>
      <c r="E4434" s="37">
        <v>0.3</v>
      </c>
      <c r="F4434" s="54">
        <v>23.027999999999999</v>
      </c>
      <c r="G4434" s="54">
        <f t="shared" si="77"/>
        <v>6.9083999999999994</v>
      </c>
      <c r="H4434" s="73"/>
      <c r="I4434" s="74"/>
      <c r="J4434" s="156">
        <v>0</v>
      </c>
    </row>
    <row r="4435" spans="1:10" ht="15.75" hidden="1" thickBot="1" x14ac:dyDescent="0.3">
      <c r="A4435" s="227"/>
      <c r="B4435" s="225"/>
      <c r="C4435" s="36" t="s">
        <v>760</v>
      </c>
      <c r="D4435" s="36" t="s">
        <v>759</v>
      </c>
      <c r="E4435" s="37">
        <v>0.3</v>
      </c>
      <c r="F4435" s="54">
        <v>16.311500000000002</v>
      </c>
      <c r="G4435" s="54">
        <f t="shared" si="77"/>
        <v>4.8934500000000005</v>
      </c>
      <c r="H4435" s="73"/>
      <c r="I4435" s="74"/>
      <c r="J4435" s="156">
        <v>0</v>
      </c>
    </row>
    <row r="4436" spans="1:10" ht="15.75" hidden="1" thickBot="1" x14ac:dyDescent="0.3">
      <c r="A4436" s="228"/>
      <c r="B4436" s="226"/>
      <c r="C4436" s="55"/>
      <c r="D4436" s="55"/>
      <c r="E4436" s="66"/>
      <c r="F4436" s="76" t="s">
        <v>572</v>
      </c>
      <c r="G4436" s="76" t="str">
        <f t="shared" si="77"/>
        <v/>
      </c>
      <c r="H4436" s="77"/>
      <c r="I4436" s="74"/>
      <c r="J4436" s="156">
        <v>0</v>
      </c>
    </row>
    <row r="4437" spans="1:10" ht="15.75" hidden="1" thickBot="1" x14ac:dyDescent="0.3">
      <c r="A4437" s="221" t="s">
        <v>1446</v>
      </c>
      <c r="B4437" s="224" t="str">
        <f>INDEX(Orçamentária!A:B,MATCH(Composições!A4437,Orçamentária!A:A,0),2)</f>
        <v>Camada Drenante para Impermeabilização</v>
      </c>
      <c r="C4437" s="41"/>
      <c r="D4437" s="26" t="str">
        <f>TRIM(INDEX(Orçamentária!C:C,MATCH(Composições!A4437,Orçamentária!A:A,0),1))</f>
        <v>m2</v>
      </c>
      <c r="E4437" s="27"/>
      <c r="F4437" s="49" t="s">
        <v>572</v>
      </c>
      <c r="G4437" s="28" t="str">
        <f t="shared" si="77"/>
        <v/>
      </c>
      <c r="H4437" s="29"/>
      <c r="I4437" s="30"/>
      <c r="J4437" s="156">
        <v>0</v>
      </c>
    </row>
    <row r="4438" spans="1:10" ht="15.75" hidden="1" thickBot="1" x14ac:dyDescent="0.3">
      <c r="A4438" s="227"/>
      <c r="B4438" s="225"/>
      <c r="C4438" s="32"/>
      <c r="D4438" s="32"/>
      <c r="E4438" s="33"/>
      <c r="F4438" s="54" t="s">
        <v>572</v>
      </c>
      <c r="G4438" s="54" t="str">
        <f t="shared" si="77"/>
        <v/>
      </c>
      <c r="H4438" s="73"/>
      <c r="I4438" s="74"/>
      <c r="J4438" s="156">
        <v>0</v>
      </c>
    </row>
    <row r="4439" spans="1:10" ht="15.75" hidden="1" thickBot="1" x14ac:dyDescent="0.3">
      <c r="A4439" s="227"/>
      <c r="B4439" s="225"/>
      <c r="C4439" s="36" t="s">
        <v>760</v>
      </c>
      <c r="D4439" s="36" t="s">
        <v>759</v>
      </c>
      <c r="E4439" s="37">
        <v>0.02</v>
      </c>
      <c r="F4439" s="54">
        <v>16.311500000000002</v>
      </c>
      <c r="G4439" s="54">
        <f t="shared" si="77"/>
        <v>0.32623000000000008</v>
      </c>
      <c r="H4439" s="39">
        <f>SUM(G4439:G4441)</f>
        <v>5.4676299999999998</v>
      </c>
      <c r="I4439" s="40"/>
      <c r="J4439" s="156">
        <v>0</v>
      </c>
    </row>
    <row r="4440" spans="1:10" ht="26.25" hidden="1" thickBot="1" x14ac:dyDescent="0.3">
      <c r="A4440" s="227"/>
      <c r="B4440" s="225"/>
      <c r="C4440" s="36" t="s">
        <v>1447</v>
      </c>
      <c r="D4440" s="36" t="s">
        <v>96</v>
      </c>
      <c r="E4440" s="37">
        <v>1.05</v>
      </c>
      <c r="F4440" s="54" t="s">
        <v>572</v>
      </c>
      <c r="G4440" s="54" t="str">
        <f t="shared" si="77"/>
        <v/>
      </c>
      <c r="H4440" s="73"/>
      <c r="I4440" s="74"/>
      <c r="J4440" s="156">
        <v>0</v>
      </c>
    </row>
    <row r="4441" spans="1:10" ht="26.25" hidden="1" thickBot="1" x14ac:dyDescent="0.3">
      <c r="A4441" s="227"/>
      <c r="B4441" s="225"/>
      <c r="C4441" s="36" t="s">
        <v>1439</v>
      </c>
      <c r="D4441" s="36" t="s">
        <v>96</v>
      </c>
      <c r="E4441" s="37">
        <v>1.1000000000000001</v>
      </c>
      <c r="F4441" s="54">
        <v>4.6739999999999995</v>
      </c>
      <c r="G4441" s="54">
        <f t="shared" si="77"/>
        <v>5.1414</v>
      </c>
      <c r="H4441" s="73"/>
      <c r="I4441" s="74"/>
      <c r="J4441" s="156">
        <v>0</v>
      </c>
    </row>
    <row r="4442" spans="1:10" ht="15.75" hidden="1" thickBot="1" x14ac:dyDescent="0.3">
      <c r="A4442" s="228"/>
      <c r="B4442" s="226"/>
      <c r="C4442" s="55"/>
      <c r="D4442" s="55"/>
      <c r="E4442" s="66"/>
      <c r="F4442" s="76" t="s">
        <v>572</v>
      </c>
      <c r="G4442" s="76" t="str">
        <f t="shared" si="77"/>
        <v/>
      </c>
      <c r="H4442" s="77"/>
      <c r="I4442" s="74"/>
      <c r="J4442" s="156">
        <v>0</v>
      </c>
    </row>
    <row r="4443" spans="1:10" ht="15.75" hidden="1" thickBot="1" x14ac:dyDescent="0.3">
      <c r="A4443" s="221" t="s">
        <v>1448</v>
      </c>
      <c r="B4443" s="224" t="str">
        <f>INDEX(Orçamentária!A:B,MATCH(Composições!A4443,Orçamentária!A:A,0),2)</f>
        <v>Calha em Chapa de Aço Galvanizado nº 24</v>
      </c>
      <c r="C4443" s="41"/>
      <c r="D4443" s="26" t="str">
        <f>TRIM(INDEX(Orçamentária!C:C,MATCH(Composições!A4443,Orçamentária!A:A,0),1))</f>
        <v>m2</v>
      </c>
      <c r="E4443" s="27"/>
      <c r="F4443" s="49" t="s">
        <v>572</v>
      </c>
      <c r="G4443" s="28" t="str">
        <f t="shared" si="77"/>
        <v/>
      </c>
      <c r="H4443" s="29"/>
      <c r="I4443" s="30"/>
      <c r="J4443" s="156">
        <v>0</v>
      </c>
    </row>
    <row r="4444" spans="1:10" ht="15.75" hidden="1" thickBot="1" x14ac:dyDescent="0.3">
      <c r="A4444" s="227"/>
      <c r="B4444" s="225"/>
      <c r="C4444" s="32"/>
      <c r="D4444" s="32"/>
      <c r="E4444" s="33"/>
      <c r="F4444" s="54" t="s">
        <v>572</v>
      </c>
      <c r="G4444" s="54" t="str">
        <f t="shared" si="77"/>
        <v/>
      </c>
      <c r="H4444" s="73"/>
      <c r="I4444" s="74"/>
      <c r="J4444" s="156">
        <v>0</v>
      </c>
    </row>
    <row r="4445" spans="1:10" ht="26.25" hidden="1" thickBot="1" x14ac:dyDescent="0.3">
      <c r="A4445" s="227"/>
      <c r="B4445" s="225"/>
      <c r="C4445" s="36" t="s">
        <v>1124</v>
      </c>
      <c r="D4445" s="47" t="s">
        <v>1135</v>
      </c>
      <c r="E4445" s="37">
        <v>0.161</v>
      </c>
      <c r="F4445" s="54">
        <v>28.015499999999996</v>
      </c>
      <c r="G4445" s="54">
        <f t="shared" si="77"/>
        <v>4.5104954999999993</v>
      </c>
      <c r="H4445" s="39">
        <f>SUM(G4445:G4453)</f>
        <v>144.95862659999997</v>
      </c>
      <c r="I4445" s="40"/>
      <c r="J4445" s="156">
        <v>0</v>
      </c>
    </row>
    <row r="4446" spans="1:10" ht="15.75" hidden="1" thickBot="1" x14ac:dyDescent="0.3">
      <c r="A4446" s="227"/>
      <c r="B4446" s="225"/>
      <c r="C4446" s="36" t="s">
        <v>1449</v>
      </c>
      <c r="D4446" s="36" t="s">
        <v>957</v>
      </c>
      <c r="E4446" s="37">
        <v>2.5000000000000001E-2</v>
      </c>
      <c r="F4446" s="54">
        <v>17.099999999999998</v>
      </c>
      <c r="G4446" s="54">
        <f t="shared" si="77"/>
        <v>0.42749999999999999</v>
      </c>
      <c r="H4446" s="73"/>
      <c r="I4446" s="74"/>
      <c r="J4446" s="156">
        <v>0</v>
      </c>
    </row>
    <row r="4447" spans="1:10" ht="26.25" hidden="1" thickBot="1" x14ac:dyDescent="0.3">
      <c r="A4447" s="227"/>
      <c r="B4447" s="225"/>
      <c r="C4447" s="36" t="s">
        <v>1450</v>
      </c>
      <c r="D4447" s="36" t="s">
        <v>957</v>
      </c>
      <c r="E4447" s="37">
        <v>4.8999999999999998E-3</v>
      </c>
      <c r="F4447" s="54">
        <v>58.9</v>
      </c>
      <c r="G4447" s="54">
        <f t="shared" si="77"/>
        <v>0.28860999999999998</v>
      </c>
      <c r="H4447" s="73"/>
      <c r="I4447" s="74"/>
      <c r="J4447" s="156">
        <v>0</v>
      </c>
    </row>
    <row r="4448" spans="1:10" ht="15.75" hidden="1" thickBot="1" x14ac:dyDescent="0.3">
      <c r="A4448" s="227"/>
      <c r="B4448" s="225"/>
      <c r="C4448" s="36" t="s">
        <v>1451</v>
      </c>
      <c r="D4448" s="36" t="s">
        <v>957</v>
      </c>
      <c r="E4448" s="37">
        <v>0.18</v>
      </c>
      <c r="F4448" s="54">
        <v>91.902999999999992</v>
      </c>
      <c r="G4448" s="54">
        <f t="shared" si="77"/>
        <v>16.542539999999999</v>
      </c>
      <c r="H4448" s="73"/>
      <c r="I4448" s="74"/>
      <c r="J4448" s="156">
        <v>0</v>
      </c>
    </row>
    <row r="4449" spans="1:10" ht="26.25" hidden="1" thickBot="1" x14ac:dyDescent="0.3">
      <c r="A4449" s="227"/>
      <c r="B4449" s="225"/>
      <c r="C4449" s="36" t="s">
        <v>1452</v>
      </c>
      <c r="D4449" s="36" t="s">
        <v>527</v>
      </c>
      <c r="E4449" s="37">
        <v>1.05</v>
      </c>
      <c r="F4449" s="54">
        <v>94.961999999999989</v>
      </c>
      <c r="G4449" s="54">
        <f t="shared" si="77"/>
        <v>99.710099999999997</v>
      </c>
      <c r="H4449" s="73"/>
      <c r="I4449" s="74"/>
      <c r="J4449" s="156">
        <v>0</v>
      </c>
    </row>
    <row r="4450" spans="1:10" ht="15.75" hidden="1" thickBot="1" x14ac:dyDescent="0.3">
      <c r="A4450" s="227"/>
      <c r="B4450" s="225"/>
      <c r="C4450" s="36" t="s">
        <v>760</v>
      </c>
      <c r="D4450" s="36" t="s">
        <v>759</v>
      </c>
      <c r="E4450" s="37">
        <v>0.63300000000000001</v>
      </c>
      <c r="F4450" s="54">
        <v>16.311500000000002</v>
      </c>
      <c r="G4450" s="54">
        <f t="shared" si="77"/>
        <v>10.325179500000001</v>
      </c>
      <c r="H4450" s="73"/>
      <c r="I4450" s="74"/>
      <c r="J4450" s="156">
        <v>0</v>
      </c>
    </row>
    <row r="4451" spans="1:10" ht="15.75" hidden="1" thickBot="1" x14ac:dyDescent="0.3">
      <c r="A4451" s="227"/>
      <c r="B4451" s="225"/>
      <c r="C4451" s="36" t="s">
        <v>1391</v>
      </c>
      <c r="D4451" s="36" t="s">
        <v>759</v>
      </c>
      <c r="E4451" s="37">
        <v>0.53900000000000003</v>
      </c>
      <c r="F4451" s="54">
        <v>23.360499999999998</v>
      </c>
      <c r="G4451" s="54">
        <f t="shared" si="77"/>
        <v>12.591309499999999</v>
      </c>
      <c r="H4451" s="73"/>
      <c r="I4451" s="74"/>
      <c r="J4451" s="156">
        <v>0</v>
      </c>
    </row>
    <row r="4452" spans="1:10" ht="26.25" hidden="1" thickBot="1" x14ac:dyDescent="0.3">
      <c r="A4452" s="227"/>
      <c r="B4452" s="225"/>
      <c r="C4452" s="36" t="s">
        <v>1392</v>
      </c>
      <c r="D4452" s="36" t="s">
        <v>1001</v>
      </c>
      <c r="E4452" s="37">
        <v>1.32E-2</v>
      </c>
      <c r="F4452" s="54">
        <v>18.277999999999999</v>
      </c>
      <c r="G4452" s="54">
        <f t="shared" si="77"/>
        <v>0.24126959999999997</v>
      </c>
      <c r="H4452" s="73"/>
      <c r="I4452" s="74"/>
      <c r="J4452" s="156">
        <v>0</v>
      </c>
    </row>
    <row r="4453" spans="1:10" ht="26.25" hidden="1" thickBot="1" x14ac:dyDescent="0.3">
      <c r="A4453" s="227"/>
      <c r="B4453" s="225"/>
      <c r="C4453" s="36" t="s">
        <v>1393</v>
      </c>
      <c r="D4453" s="36" t="s">
        <v>1003</v>
      </c>
      <c r="E4453" s="37">
        <v>1.83E-2</v>
      </c>
      <c r="F4453" s="54">
        <v>17.574999999999999</v>
      </c>
      <c r="G4453" s="54">
        <f t="shared" si="77"/>
        <v>0.32162249999999998</v>
      </c>
      <c r="H4453" s="73"/>
      <c r="I4453" s="74"/>
      <c r="J4453" s="156">
        <v>0</v>
      </c>
    </row>
    <row r="4454" spans="1:10" ht="15.75" hidden="1" thickBot="1" x14ac:dyDescent="0.3">
      <c r="A4454" s="228"/>
      <c r="B4454" s="226"/>
      <c r="C4454" s="55"/>
      <c r="D4454" s="55"/>
      <c r="E4454" s="66"/>
      <c r="F4454" s="76" t="s">
        <v>572</v>
      </c>
      <c r="G4454" s="76" t="str">
        <f t="shared" si="77"/>
        <v/>
      </c>
      <c r="H4454" s="77"/>
      <c r="I4454" s="74"/>
      <c r="J4454" s="156">
        <v>0</v>
      </c>
    </row>
    <row r="4455" spans="1:10" ht="15.75" hidden="1" thickBot="1" x14ac:dyDescent="0.3">
      <c r="A4455" s="221" t="s">
        <v>1453</v>
      </c>
      <c r="B4455" s="224" t="str">
        <f>INDEX(Orçamentária!A:B,MATCH(Composições!A4455,Orçamentária!A:A,0),2)</f>
        <v>Rufo em Chapa de Aço Galvanizado nº 24</v>
      </c>
      <c r="C4455" s="41"/>
      <c r="D4455" s="26" t="str">
        <f>TRIM(INDEX(Orçamentária!C:C,MATCH(Composições!A4455,Orçamentária!A:A,0),1))</f>
        <v>m2</v>
      </c>
      <c r="E4455" s="27"/>
      <c r="F4455" s="49" t="s">
        <v>572</v>
      </c>
      <c r="G4455" s="28" t="str">
        <f t="shared" si="77"/>
        <v/>
      </c>
      <c r="H4455" s="29"/>
      <c r="I4455" s="30"/>
      <c r="J4455" s="156">
        <v>0</v>
      </c>
    </row>
    <row r="4456" spans="1:10" ht="15.75" hidden="1" thickBot="1" x14ac:dyDescent="0.3">
      <c r="A4456" s="227"/>
      <c r="B4456" s="225"/>
      <c r="C4456" s="32"/>
      <c r="D4456" s="32"/>
      <c r="E4456" s="33"/>
      <c r="F4456" s="54" t="s">
        <v>572</v>
      </c>
      <c r="G4456" s="54" t="str">
        <f t="shared" ref="G4456:G4519" si="78">IF(ISNUMBER(F4456),E4456*F4456,"")</f>
        <v/>
      </c>
      <c r="H4456" s="73"/>
      <c r="I4456" s="74"/>
      <c r="J4456" s="156">
        <v>0</v>
      </c>
    </row>
    <row r="4457" spans="1:10" ht="26.25" hidden="1" thickBot="1" x14ac:dyDescent="0.3">
      <c r="A4457" s="227"/>
      <c r="B4457" s="225"/>
      <c r="C4457" s="36" t="s">
        <v>1124</v>
      </c>
      <c r="D4457" s="47" t="s">
        <v>1135</v>
      </c>
      <c r="E4457" s="37">
        <f>0.198*2</f>
        <v>0.39600000000000002</v>
      </c>
      <c r="F4457" s="54">
        <v>28.015499999999996</v>
      </c>
      <c r="G4457" s="54">
        <f t="shared" si="78"/>
        <v>11.094137999999999</v>
      </c>
      <c r="H4457" s="39">
        <f>SUM(G4457:G4465)</f>
        <v>139.42411659999999</v>
      </c>
      <c r="I4457" s="40"/>
      <c r="J4457" s="156">
        <v>0</v>
      </c>
    </row>
    <row r="4458" spans="1:10" ht="15.75" hidden="1" thickBot="1" x14ac:dyDescent="0.3">
      <c r="A4458" s="227"/>
      <c r="B4458" s="225"/>
      <c r="C4458" s="36" t="s">
        <v>1449</v>
      </c>
      <c r="D4458" s="36" t="s">
        <v>957</v>
      </c>
      <c r="E4458" s="37">
        <f>0.006*2</f>
        <v>1.2E-2</v>
      </c>
      <c r="F4458" s="54">
        <v>17.099999999999998</v>
      </c>
      <c r="G4458" s="54">
        <f t="shared" si="78"/>
        <v>0.20519999999999997</v>
      </c>
      <c r="H4458" s="73"/>
      <c r="I4458" s="74"/>
      <c r="J4458" s="156">
        <v>0</v>
      </c>
    </row>
    <row r="4459" spans="1:10" ht="26.25" hidden="1" thickBot="1" x14ac:dyDescent="0.3">
      <c r="A4459" s="227"/>
      <c r="B4459" s="225"/>
      <c r="C4459" s="36" t="s">
        <v>1450</v>
      </c>
      <c r="D4459" s="36" t="s">
        <v>957</v>
      </c>
      <c r="E4459" s="37">
        <f>0.0012*2</f>
        <v>2.3999999999999998E-3</v>
      </c>
      <c r="F4459" s="54">
        <v>58.9</v>
      </c>
      <c r="G4459" s="54">
        <f t="shared" si="78"/>
        <v>0.14135999999999999</v>
      </c>
      <c r="H4459" s="73"/>
      <c r="I4459" s="74"/>
      <c r="J4459" s="156">
        <v>0</v>
      </c>
    </row>
    <row r="4460" spans="1:10" ht="15.75" hidden="1" thickBot="1" x14ac:dyDescent="0.3">
      <c r="A4460" s="227"/>
      <c r="B4460" s="225"/>
      <c r="C4460" s="36" t="s">
        <v>1451</v>
      </c>
      <c r="D4460" s="36" t="s">
        <v>957</v>
      </c>
      <c r="E4460" s="37">
        <f>0.045*2</f>
        <v>0.09</v>
      </c>
      <c r="F4460" s="54">
        <v>91.902999999999992</v>
      </c>
      <c r="G4460" s="54">
        <f t="shared" si="78"/>
        <v>8.2712699999999995</v>
      </c>
      <c r="H4460" s="73"/>
      <c r="I4460" s="74"/>
      <c r="J4460" s="156">
        <v>0</v>
      </c>
    </row>
    <row r="4461" spans="1:10" ht="26.25" hidden="1" thickBot="1" x14ac:dyDescent="0.3">
      <c r="A4461" s="227"/>
      <c r="B4461" s="225"/>
      <c r="C4461" s="36" t="s">
        <v>1454</v>
      </c>
      <c r="D4461" s="36" t="s">
        <v>527</v>
      </c>
      <c r="E4461" s="37">
        <f>4*1.05</f>
        <v>4.2</v>
      </c>
      <c r="F4461" s="54">
        <v>26.941999999999997</v>
      </c>
      <c r="G4461" s="54">
        <f t="shared" si="78"/>
        <v>113.15639999999999</v>
      </c>
      <c r="H4461" s="73"/>
      <c r="I4461" s="74"/>
      <c r="J4461" s="156">
        <v>0</v>
      </c>
    </row>
    <row r="4462" spans="1:10" ht="15.75" hidden="1" thickBot="1" x14ac:dyDescent="0.3">
      <c r="A4462" s="227"/>
      <c r="B4462" s="225"/>
      <c r="C4462" s="36" t="s">
        <v>760</v>
      </c>
      <c r="D4462" s="36" t="s">
        <v>759</v>
      </c>
      <c r="E4462" s="37">
        <v>0.20699999999999999</v>
      </c>
      <c r="F4462" s="54">
        <v>16.311500000000002</v>
      </c>
      <c r="G4462" s="54">
        <f t="shared" si="78"/>
        <v>3.3764805000000004</v>
      </c>
      <c r="H4462" s="73"/>
      <c r="I4462" s="74"/>
      <c r="J4462" s="156">
        <v>0</v>
      </c>
    </row>
    <row r="4463" spans="1:10" ht="15.75" hidden="1" thickBot="1" x14ac:dyDescent="0.3">
      <c r="A4463" s="227"/>
      <c r="B4463" s="225"/>
      <c r="C4463" s="36" t="s">
        <v>1391</v>
      </c>
      <c r="D4463" s="36" t="s">
        <v>759</v>
      </c>
      <c r="E4463" s="37">
        <v>0.112</v>
      </c>
      <c r="F4463" s="54">
        <v>23.360499999999998</v>
      </c>
      <c r="G4463" s="54">
        <f t="shared" si="78"/>
        <v>2.6163759999999998</v>
      </c>
      <c r="H4463" s="73"/>
      <c r="I4463" s="74"/>
      <c r="J4463" s="156">
        <v>0</v>
      </c>
    </row>
    <row r="4464" spans="1:10" ht="26.25" hidden="1" thickBot="1" x14ac:dyDescent="0.3">
      <c r="A4464" s="227"/>
      <c r="B4464" s="225"/>
      <c r="C4464" s="36" t="s">
        <v>1392</v>
      </c>
      <c r="D4464" s="36" t="s">
        <v>1001</v>
      </c>
      <c r="E4464" s="37">
        <v>1.32E-2</v>
      </c>
      <c r="F4464" s="54">
        <v>18.277999999999999</v>
      </c>
      <c r="G4464" s="54">
        <f t="shared" si="78"/>
        <v>0.24126959999999997</v>
      </c>
      <c r="H4464" s="73"/>
      <c r="I4464" s="74"/>
      <c r="J4464" s="156">
        <v>0</v>
      </c>
    </row>
    <row r="4465" spans="1:10" ht="26.25" hidden="1" thickBot="1" x14ac:dyDescent="0.3">
      <c r="A4465" s="227"/>
      <c r="B4465" s="225"/>
      <c r="C4465" s="36" t="s">
        <v>1393</v>
      </c>
      <c r="D4465" s="36" t="s">
        <v>1003</v>
      </c>
      <c r="E4465" s="37">
        <v>1.83E-2</v>
      </c>
      <c r="F4465" s="54">
        <v>17.574999999999999</v>
      </c>
      <c r="G4465" s="54">
        <f t="shared" si="78"/>
        <v>0.32162249999999998</v>
      </c>
      <c r="H4465" s="73"/>
      <c r="I4465" s="74"/>
      <c r="J4465" s="156">
        <v>0</v>
      </c>
    </row>
    <row r="4466" spans="1:10" ht="15.75" hidden="1" thickBot="1" x14ac:dyDescent="0.3">
      <c r="A4466" s="228"/>
      <c r="B4466" s="226"/>
      <c r="C4466" s="55"/>
      <c r="D4466" s="55"/>
      <c r="E4466" s="66"/>
      <c r="F4466" s="76" t="s">
        <v>572</v>
      </c>
      <c r="G4466" s="76" t="str">
        <f t="shared" si="78"/>
        <v/>
      </c>
      <c r="H4466" s="77"/>
      <c r="I4466" s="74"/>
      <c r="J4466" s="156">
        <v>0</v>
      </c>
    </row>
    <row r="4467" spans="1:10" ht="15.75" hidden="1" thickBot="1" x14ac:dyDescent="0.3">
      <c r="A4467" s="221" t="s">
        <v>1455</v>
      </c>
      <c r="B4467" s="224" t="str">
        <f>INDEX(Orçamentária!A:B,MATCH(Composições!A4467,Orçamentária!A:A,0),2)</f>
        <v>Chapim Pré-Moldado de Concreto Aparente</v>
      </c>
      <c r="C4467" s="41"/>
      <c r="D4467" s="26" t="str">
        <f>TRIM(INDEX(Orçamentária!C:C,MATCH(Composições!A4467,Orçamentária!A:A,0),1))</f>
        <v>m</v>
      </c>
      <c r="E4467" s="27"/>
      <c r="F4467" s="49" t="s">
        <v>572</v>
      </c>
      <c r="G4467" s="28" t="str">
        <f t="shared" si="78"/>
        <v/>
      </c>
      <c r="H4467" s="29"/>
      <c r="I4467" s="30"/>
      <c r="J4467" s="156">
        <v>0</v>
      </c>
    </row>
    <row r="4468" spans="1:10" ht="15.75" hidden="1" thickBot="1" x14ac:dyDescent="0.3">
      <c r="A4468" s="227"/>
      <c r="B4468" s="225"/>
      <c r="C4468" s="32"/>
      <c r="D4468" s="32"/>
      <c r="E4468" s="33"/>
      <c r="F4468" s="54" t="s">
        <v>572</v>
      </c>
      <c r="G4468" s="54" t="str">
        <f t="shared" si="78"/>
        <v/>
      </c>
      <c r="H4468" s="73"/>
      <c r="I4468" s="74"/>
      <c r="J4468" s="156">
        <v>0</v>
      </c>
    </row>
    <row r="4469" spans="1:10" ht="26.25" hidden="1" thickBot="1" x14ac:dyDescent="0.3">
      <c r="A4469" s="227"/>
      <c r="B4469" s="225"/>
      <c r="C4469" s="36" t="s">
        <v>3606</v>
      </c>
      <c r="D4469" s="36" t="s">
        <v>957</v>
      </c>
      <c r="E4469" s="37">
        <v>0.02</v>
      </c>
      <c r="F4469" s="54">
        <v>18.838499999999996</v>
      </c>
      <c r="G4469" s="54">
        <f t="shared" si="78"/>
        <v>0.37676999999999994</v>
      </c>
      <c r="H4469" s="39">
        <f>SUM(G4469:G4482)</f>
        <v>100.90806479150001</v>
      </c>
      <c r="I4469" s="40"/>
      <c r="J4469" s="156">
        <v>0</v>
      </c>
    </row>
    <row r="4470" spans="1:10" ht="26.25" hidden="1" thickBot="1" x14ac:dyDescent="0.3">
      <c r="A4470" s="227"/>
      <c r="B4470" s="225"/>
      <c r="C4470" s="36" t="s">
        <v>1372</v>
      </c>
      <c r="D4470" s="36" t="s">
        <v>112</v>
      </c>
      <c r="E4470" s="37">
        <v>0.04</v>
      </c>
      <c r="F4470" s="54">
        <v>112.63199999999999</v>
      </c>
      <c r="G4470" s="54">
        <f t="shared" si="78"/>
        <v>4.50528</v>
      </c>
      <c r="H4470" s="73"/>
      <c r="I4470" s="74"/>
      <c r="J4470" s="156">
        <v>0</v>
      </c>
    </row>
    <row r="4471" spans="1:10" ht="15.75" hidden="1" thickBot="1" x14ac:dyDescent="0.3">
      <c r="A4471" s="227"/>
      <c r="B4471" s="225"/>
      <c r="C4471" s="36" t="s">
        <v>960</v>
      </c>
      <c r="D4471" s="36" t="s">
        <v>759</v>
      </c>
      <c r="E4471" s="37">
        <v>0.8</v>
      </c>
      <c r="F4471" s="54">
        <v>21.973499999999998</v>
      </c>
      <c r="G4471" s="54">
        <f t="shared" si="78"/>
        <v>17.578799999999998</v>
      </c>
      <c r="H4471" s="73"/>
      <c r="I4471" s="74"/>
      <c r="J4471" s="156">
        <v>0</v>
      </c>
    </row>
    <row r="4472" spans="1:10" ht="26.25" hidden="1" thickBot="1" x14ac:dyDescent="0.3">
      <c r="A4472" s="227"/>
      <c r="B4472" s="225"/>
      <c r="C4472" s="36" t="s">
        <v>1456</v>
      </c>
      <c r="D4472" s="36" t="s">
        <v>957</v>
      </c>
      <c r="E4472" s="37">
        <v>1.35</v>
      </c>
      <c r="F4472" s="54">
        <v>9.0060000000000002</v>
      </c>
      <c r="G4472" s="54">
        <f t="shared" si="78"/>
        <v>12.158100000000001</v>
      </c>
      <c r="H4472" s="73"/>
      <c r="I4472" s="74"/>
      <c r="J4472" s="156">
        <v>0</v>
      </c>
    </row>
    <row r="4473" spans="1:10" ht="15.75" hidden="1" thickBot="1" x14ac:dyDescent="0.3">
      <c r="A4473" s="227"/>
      <c r="B4473" s="225"/>
      <c r="C4473" s="36" t="s">
        <v>78</v>
      </c>
      <c r="D4473" s="36" t="s">
        <v>759</v>
      </c>
      <c r="E4473" s="37">
        <v>0.7</v>
      </c>
      <c r="F4473" s="54">
        <v>21.878499999999999</v>
      </c>
      <c r="G4473" s="54">
        <f t="shared" si="78"/>
        <v>15.314949999999998</v>
      </c>
      <c r="H4473" s="73"/>
      <c r="I4473" s="74"/>
      <c r="J4473" s="156">
        <v>0</v>
      </c>
    </row>
    <row r="4474" spans="1:10" ht="15.75" hidden="1" thickBot="1" x14ac:dyDescent="0.3">
      <c r="A4474" s="227"/>
      <c r="B4474" s="225"/>
      <c r="C4474" s="36" t="s">
        <v>1457</v>
      </c>
      <c r="D4474" s="36" t="s">
        <v>96</v>
      </c>
      <c r="E4474" s="37">
        <v>1</v>
      </c>
      <c r="F4474" s="54">
        <v>0</v>
      </c>
      <c r="G4474" s="54">
        <f t="shared" si="78"/>
        <v>0</v>
      </c>
      <c r="H4474" s="73"/>
      <c r="I4474" s="74"/>
      <c r="J4474" s="156">
        <v>0</v>
      </c>
    </row>
    <row r="4475" spans="1:10" ht="39" hidden="1" thickBot="1" x14ac:dyDescent="0.3">
      <c r="A4475" s="227"/>
      <c r="B4475" s="225"/>
      <c r="C4475" s="36" t="s">
        <v>1458</v>
      </c>
      <c r="D4475" s="36" t="s">
        <v>1001</v>
      </c>
      <c r="E4475" s="37">
        <v>0.02</v>
      </c>
      <c r="F4475" s="54">
        <v>3.4484999999999997</v>
      </c>
      <c r="G4475" s="54">
        <f t="shared" si="78"/>
        <v>6.896999999999999E-2</v>
      </c>
      <c r="H4475" s="73"/>
      <c r="I4475" s="74"/>
      <c r="J4475" s="156">
        <v>0</v>
      </c>
    </row>
    <row r="4476" spans="1:10" ht="15.75" hidden="1" thickBot="1" x14ac:dyDescent="0.3">
      <c r="A4476" s="227"/>
      <c r="B4476" s="225"/>
      <c r="C4476" s="36" t="s">
        <v>805</v>
      </c>
      <c r="D4476" s="36" t="s">
        <v>957</v>
      </c>
      <c r="E4476" s="37">
        <v>17.36</v>
      </c>
      <c r="F4476" s="54">
        <v>0.47499999999999998</v>
      </c>
      <c r="G4476" s="54">
        <f t="shared" si="78"/>
        <v>8.2459999999999987</v>
      </c>
      <c r="H4476" s="73"/>
      <c r="I4476" s="74"/>
      <c r="J4476" s="156">
        <v>0</v>
      </c>
    </row>
    <row r="4477" spans="1:10" ht="26.25" hidden="1" thickBot="1" x14ac:dyDescent="0.3">
      <c r="A4477" s="227"/>
      <c r="B4477" s="225"/>
      <c r="C4477" s="36" t="s">
        <v>814</v>
      </c>
      <c r="D4477" s="36" t="s">
        <v>112</v>
      </c>
      <c r="E4477" s="37">
        <v>0.09</v>
      </c>
      <c r="F4477" s="54">
        <v>135.81200000000001</v>
      </c>
      <c r="G4477" s="54">
        <f t="shared" si="78"/>
        <v>12.223080000000001</v>
      </c>
      <c r="H4477" s="73"/>
      <c r="I4477" s="74"/>
      <c r="J4477" s="156">
        <v>0</v>
      </c>
    </row>
    <row r="4478" spans="1:10" ht="15.75" hidden="1" thickBot="1" x14ac:dyDescent="0.3">
      <c r="A4478" s="227"/>
      <c r="B4478" s="225"/>
      <c r="C4478" s="36" t="s">
        <v>1459</v>
      </c>
      <c r="D4478" s="36" t="s">
        <v>42</v>
      </c>
      <c r="E4478" s="37">
        <v>0.02</v>
      </c>
      <c r="F4478" s="54">
        <v>17.394499999999997</v>
      </c>
      <c r="G4478" s="54">
        <f t="shared" si="78"/>
        <v>0.34788999999999998</v>
      </c>
      <c r="H4478" s="73"/>
      <c r="I4478" s="74"/>
      <c r="J4478" s="156">
        <v>0</v>
      </c>
    </row>
    <row r="4479" spans="1:10" ht="15.75" hidden="1" thickBot="1" x14ac:dyDescent="0.3">
      <c r="A4479" s="227"/>
      <c r="B4479" s="225"/>
      <c r="C4479" s="36" t="s">
        <v>768</v>
      </c>
      <c r="D4479" s="36" t="s">
        <v>12</v>
      </c>
      <c r="E4479" s="37">
        <v>0.3</v>
      </c>
      <c r="F4479" s="54">
        <v>22.087499999999999</v>
      </c>
      <c r="G4479" s="54">
        <f t="shared" si="78"/>
        <v>6.6262499999999998</v>
      </c>
      <c r="H4479" s="73"/>
      <c r="I4479" s="74"/>
      <c r="J4479" s="156">
        <v>0</v>
      </c>
    </row>
    <row r="4480" spans="1:10" ht="15.75" hidden="1" thickBot="1" x14ac:dyDescent="0.3">
      <c r="A4480" s="227"/>
      <c r="B4480" s="225"/>
      <c r="C4480" s="36" t="s">
        <v>760</v>
      </c>
      <c r="D4480" s="36" t="s">
        <v>759</v>
      </c>
      <c r="E4480" s="37">
        <v>1.1000000000000001</v>
      </c>
      <c r="F4480" s="54">
        <v>16.311500000000002</v>
      </c>
      <c r="G4480" s="54">
        <f t="shared" si="78"/>
        <v>17.942650000000004</v>
      </c>
      <c r="H4480" s="73"/>
      <c r="I4480" s="74"/>
      <c r="J4480" s="156">
        <v>0</v>
      </c>
    </row>
    <row r="4481" spans="1:10" ht="51.75" hidden="1" thickBot="1" x14ac:dyDescent="0.3">
      <c r="A4481" s="227"/>
      <c r="B4481" s="225"/>
      <c r="C4481" s="36" t="s">
        <v>3619</v>
      </c>
      <c r="D4481" s="36" t="s">
        <v>112</v>
      </c>
      <c r="E4481" s="37">
        <f>1*(E4470+E4477)</f>
        <v>0.13</v>
      </c>
      <c r="F4481" s="34">
        <v>5.5686425499999999</v>
      </c>
      <c r="G4481" s="34">
        <f t="shared" si="78"/>
        <v>0.72392353149999999</v>
      </c>
      <c r="H4481" s="35"/>
      <c r="I4481" s="31"/>
      <c r="J4481" s="156">
        <v>0</v>
      </c>
    </row>
    <row r="4482" spans="1:10" ht="39" hidden="1" thickBot="1" x14ac:dyDescent="0.3">
      <c r="A4482" s="227"/>
      <c r="B4482" s="225"/>
      <c r="C4482" s="36" t="s">
        <v>125</v>
      </c>
      <c r="D4482" s="36" t="s">
        <v>126</v>
      </c>
      <c r="E4482" s="37">
        <f>(E4470+E4477)*20</f>
        <v>2.6</v>
      </c>
      <c r="F4482" s="54">
        <v>1.8443850999999998</v>
      </c>
      <c r="G4482" s="54">
        <f t="shared" si="78"/>
        <v>4.7954012599999993</v>
      </c>
      <c r="H4482" s="73"/>
      <c r="I4482" s="74"/>
      <c r="J4482" s="156">
        <v>0</v>
      </c>
    </row>
    <row r="4483" spans="1:10" ht="15.75" hidden="1" thickBot="1" x14ac:dyDescent="0.3">
      <c r="A4483" s="227"/>
      <c r="B4483" s="225"/>
      <c r="C4483" s="36"/>
      <c r="D4483" s="36"/>
      <c r="E4483" s="37"/>
      <c r="F4483" s="54" t="s">
        <v>572</v>
      </c>
      <c r="G4483" s="54" t="str">
        <f t="shared" si="78"/>
        <v/>
      </c>
      <c r="H4483" s="73"/>
      <c r="I4483" s="74"/>
      <c r="J4483" s="156">
        <v>0</v>
      </c>
    </row>
    <row r="4484" spans="1:10" ht="26.25" hidden="1" thickBot="1" x14ac:dyDescent="0.3">
      <c r="A4484" s="227"/>
      <c r="B4484" s="225"/>
      <c r="C4484" s="48" t="s">
        <v>1360</v>
      </c>
      <c r="D4484" s="36"/>
      <c r="E4484" s="37"/>
      <c r="F4484" s="54" t="s">
        <v>572</v>
      </c>
      <c r="G4484" s="54" t="str">
        <f t="shared" si="78"/>
        <v/>
      </c>
      <c r="H4484" s="73"/>
      <c r="I4484" s="74"/>
      <c r="J4484" s="156">
        <v>0</v>
      </c>
    </row>
    <row r="4485" spans="1:10" ht="15.75" hidden="1" thickBot="1" x14ac:dyDescent="0.3">
      <c r="A4485" s="228"/>
      <c r="B4485" s="226"/>
      <c r="C4485" s="55"/>
      <c r="D4485" s="55"/>
      <c r="E4485" s="66"/>
      <c r="F4485" s="76" t="s">
        <v>572</v>
      </c>
      <c r="G4485" s="76" t="str">
        <f t="shared" si="78"/>
        <v/>
      </c>
      <c r="H4485" s="77"/>
      <c r="I4485" s="74"/>
      <c r="J4485" s="156">
        <v>0</v>
      </c>
    </row>
    <row r="4486" spans="1:10" ht="15.75" hidden="1" thickBot="1" x14ac:dyDescent="0.3">
      <c r="A4486" s="221" t="s">
        <v>1460</v>
      </c>
      <c r="B4486" s="224" t="str">
        <f>INDEX(Orçamentária!A:B,MATCH(Composições!A4486,Orçamentária!A:A,0),2)</f>
        <v>Armação em tela de aço soldado nervurada</v>
      </c>
      <c r="C4486" s="41"/>
      <c r="D4486" s="26" t="str">
        <f>TRIM(INDEX(Orçamentária!C:C,MATCH(Composições!A4486,Orçamentária!A:A,0),1))</f>
        <v>m2</v>
      </c>
      <c r="E4486" s="27"/>
      <c r="F4486" s="49" t="s">
        <v>572</v>
      </c>
      <c r="G4486" s="28" t="str">
        <f t="shared" si="78"/>
        <v/>
      </c>
      <c r="H4486" s="29"/>
      <c r="I4486" s="30"/>
      <c r="J4486" s="156">
        <v>0</v>
      </c>
    </row>
    <row r="4487" spans="1:10" ht="15.75" hidden="1" thickBot="1" x14ac:dyDescent="0.3">
      <c r="A4487" s="227"/>
      <c r="B4487" s="225"/>
      <c r="C4487" s="32"/>
      <c r="D4487" s="32"/>
      <c r="E4487" s="33"/>
      <c r="F4487" s="54" t="s">
        <v>572</v>
      </c>
      <c r="G4487" s="54" t="str">
        <f t="shared" si="78"/>
        <v/>
      </c>
      <c r="H4487" s="73"/>
      <c r="I4487" s="74"/>
      <c r="J4487" s="156">
        <v>0</v>
      </c>
    </row>
    <row r="4488" spans="1:10" ht="39" hidden="1" thickBot="1" x14ac:dyDescent="0.3">
      <c r="A4488" s="227"/>
      <c r="B4488" s="225"/>
      <c r="C4488" s="36" t="s">
        <v>1461</v>
      </c>
      <c r="D4488" s="36" t="s">
        <v>1053</v>
      </c>
      <c r="E4488" s="37">
        <f>ROUND(0.712*1.48,4)</f>
        <v>1.0538000000000001</v>
      </c>
      <c r="F4488" s="54">
        <v>19.247</v>
      </c>
      <c r="G4488" s="54">
        <f t="shared" si="78"/>
        <v>20.282488600000001</v>
      </c>
      <c r="H4488" s="39">
        <f>SUM(G4488:G4492)</f>
        <v>22.344140599999999</v>
      </c>
      <c r="I4488" s="40"/>
      <c r="J4488" s="156">
        <v>0</v>
      </c>
    </row>
    <row r="4489" spans="1:10" ht="39" hidden="1" thickBot="1" x14ac:dyDescent="0.3">
      <c r="A4489" s="227"/>
      <c r="B4489" s="225"/>
      <c r="C4489" s="36" t="s">
        <v>958</v>
      </c>
      <c r="D4489" s="36" t="s">
        <v>299</v>
      </c>
      <c r="E4489" s="37">
        <f>ROUND(1.382*1.48,4)</f>
        <v>2.0453999999999999</v>
      </c>
      <c r="F4489" s="54">
        <v>0.17099999999999999</v>
      </c>
      <c r="G4489" s="54">
        <f t="shared" si="78"/>
        <v>0.34976339999999995</v>
      </c>
      <c r="H4489" s="73"/>
      <c r="I4489" s="74"/>
      <c r="J4489" s="156">
        <v>0</v>
      </c>
    </row>
    <row r="4490" spans="1:10" ht="26.25" hidden="1" thickBot="1" x14ac:dyDescent="0.3">
      <c r="A4490" s="227"/>
      <c r="B4490" s="225"/>
      <c r="C4490" s="36" t="s">
        <v>3606</v>
      </c>
      <c r="D4490" s="36" t="s">
        <v>957</v>
      </c>
      <c r="E4490" s="37">
        <f>ROUND(0.0105*1.48,4)</f>
        <v>1.55E-2</v>
      </c>
      <c r="F4490" s="54">
        <v>18.838499999999996</v>
      </c>
      <c r="G4490" s="54">
        <f t="shared" si="78"/>
        <v>0.29199674999999992</v>
      </c>
      <c r="H4490" s="73"/>
      <c r="I4490" s="74"/>
      <c r="J4490" s="156">
        <v>0</v>
      </c>
    </row>
    <row r="4491" spans="1:10" ht="15.75" hidden="1" thickBot="1" x14ac:dyDescent="0.3">
      <c r="A4491" s="227"/>
      <c r="B4491" s="225"/>
      <c r="C4491" s="36" t="s">
        <v>959</v>
      </c>
      <c r="D4491" s="36" t="s">
        <v>759</v>
      </c>
      <c r="E4491" s="37">
        <f>ROUND(0.006*1.48,4)</f>
        <v>8.8999999999999999E-3</v>
      </c>
      <c r="F4491" s="54">
        <v>17.081</v>
      </c>
      <c r="G4491" s="54">
        <f t="shared" si="78"/>
        <v>0.15202089999999999</v>
      </c>
      <c r="H4491" s="73"/>
      <c r="I4491" s="74"/>
      <c r="J4491" s="156">
        <v>0</v>
      </c>
    </row>
    <row r="4492" spans="1:10" ht="15.75" hidden="1" thickBot="1" x14ac:dyDescent="0.3">
      <c r="A4492" s="227"/>
      <c r="B4492" s="225"/>
      <c r="C4492" s="36" t="s">
        <v>960</v>
      </c>
      <c r="D4492" s="36" t="s">
        <v>759</v>
      </c>
      <c r="E4492" s="37">
        <f>ROUND(0.039*1.48,4)</f>
        <v>5.7700000000000001E-2</v>
      </c>
      <c r="F4492" s="54">
        <v>21.973499999999998</v>
      </c>
      <c r="G4492" s="54">
        <f t="shared" si="78"/>
        <v>1.2678709499999998</v>
      </c>
      <c r="H4492" s="73"/>
      <c r="I4492" s="74"/>
      <c r="J4492" s="156">
        <v>0</v>
      </c>
    </row>
    <row r="4493" spans="1:10" ht="15.75" hidden="1" thickBot="1" x14ac:dyDescent="0.3">
      <c r="A4493" s="227"/>
      <c r="B4493" s="225"/>
      <c r="C4493" s="36"/>
      <c r="D4493" s="36"/>
      <c r="E4493" s="37"/>
      <c r="F4493" s="54" t="s">
        <v>572</v>
      </c>
      <c r="G4493" s="54" t="str">
        <f t="shared" si="78"/>
        <v/>
      </c>
      <c r="H4493" s="73"/>
      <c r="I4493" s="74"/>
      <c r="J4493" s="156">
        <v>0</v>
      </c>
    </row>
    <row r="4494" spans="1:10" ht="15.75" hidden="1" thickBot="1" x14ac:dyDescent="0.3">
      <c r="A4494" s="221" t="s">
        <v>1462</v>
      </c>
      <c r="B4494" s="224" t="str">
        <f>INDEX(Orçamentária!A:B,MATCH(Composições!A4494,Orçamentária!A:A,0),2)</f>
        <v>Trama de aço composta por terças para telhados de até 2 águas</v>
      </c>
      <c r="C4494" s="41"/>
      <c r="D4494" s="26" t="str">
        <f>TRIM(INDEX(Orçamentária!C:C,MATCH(Composições!A4494,Orçamentária!A:A,0),1))</f>
        <v>m2</v>
      </c>
      <c r="E4494" s="27"/>
      <c r="F4494" s="49" t="s">
        <v>572</v>
      </c>
      <c r="G4494" s="28" t="str">
        <f t="shared" si="78"/>
        <v/>
      </c>
      <c r="H4494" s="29"/>
      <c r="I4494" s="30"/>
      <c r="J4494" s="156">
        <v>0</v>
      </c>
    </row>
    <row r="4495" spans="1:10" ht="15.75" hidden="1" thickBot="1" x14ac:dyDescent="0.3">
      <c r="A4495" s="227"/>
      <c r="B4495" s="225"/>
      <c r="C4495" s="32"/>
      <c r="D4495" s="32"/>
      <c r="E4495" s="33"/>
      <c r="F4495" s="54" t="s">
        <v>572</v>
      </c>
      <c r="G4495" s="54" t="str">
        <f t="shared" si="78"/>
        <v/>
      </c>
      <c r="H4495" s="73"/>
      <c r="I4495" s="74"/>
      <c r="J4495" s="156">
        <v>0</v>
      </c>
    </row>
    <row r="4496" spans="1:10" ht="26.25" hidden="1" thickBot="1" x14ac:dyDescent="0.3">
      <c r="A4496" s="227"/>
      <c r="B4496" s="225"/>
      <c r="C4496" s="36" t="s">
        <v>1463</v>
      </c>
      <c r="D4496" s="47" t="s">
        <v>1324</v>
      </c>
      <c r="E4496" s="37">
        <v>7.0000000000000001E-3</v>
      </c>
      <c r="F4496" s="54">
        <v>90.344999999999985</v>
      </c>
      <c r="G4496" s="54">
        <f t="shared" si="78"/>
        <v>0.63241499999999995</v>
      </c>
      <c r="H4496" s="39">
        <f>SUM(G4496:G4501)</f>
        <v>44.687327400000001</v>
      </c>
      <c r="I4496" s="40"/>
      <c r="J4496" s="156">
        <v>0</v>
      </c>
    </row>
    <row r="4497" spans="1:10" ht="26.25" hidden="1" thickBot="1" x14ac:dyDescent="0.3">
      <c r="A4497" s="227"/>
      <c r="B4497" s="225"/>
      <c r="C4497" s="36" t="s">
        <v>1464</v>
      </c>
      <c r="D4497" s="36" t="s">
        <v>957</v>
      </c>
      <c r="E4497" s="37">
        <v>4.3330000000000002</v>
      </c>
      <c r="F4497" s="54">
        <v>8.8729999999999993</v>
      </c>
      <c r="G4497" s="54">
        <f t="shared" si="78"/>
        <v>38.446708999999998</v>
      </c>
      <c r="H4497" s="73"/>
      <c r="I4497" s="74"/>
      <c r="J4497" s="156">
        <v>0</v>
      </c>
    </row>
    <row r="4498" spans="1:10" ht="26.25" hidden="1" thickBot="1" x14ac:dyDescent="0.3">
      <c r="A4498" s="227"/>
      <c r="B4498" s="225"/>
      <c r="C4498" s="36" t="s">
        <v>1046</v>
      </c>
      <c r="D4498" s="36" t="s">
        <v>759</v>
      </c>
      <c r="E4498" s="37">
        <v>0.21299999999999999</v>
      </c>
      <c r="F4498" s="54">
        <v>16.852999999999998</v>
      </c>
      <c r="G4498" s="54">
        <f t="shared" si="78"/>
        <v>3.5896889999999995</v>
      </c>
      <c r="H4498" s="73"/>
      <c r="I4498" s="74"/>
      <c r="J4498" s="156">
        <v>0</v>
      </c>
    </row>
    <row r="4499" spans="1:10" ht="15.75" hidden="1" thickBot="1" x14ac:dyDescent="0.3">
      <c r="A4499" s="227"/>
      <c r="B4499" s="225"/>
      <c r="C4499" s="36" t="s">
        <v>760</v>
      </c>
      <c r="D4499" s="36" t="s">
        <v>759</v>
      </c>
      <c r="E4499" s="37">
        <v>0.106</v>
      </c>
      <c r="F4499" s="54">
        <v>16.311500000000002</v>
      </c>
      <c r="G4499" s="54">
        <f t="shared" si="78"/>
        <v>1.7290190000000003</v>
      </c>
      <c r="H4499" s="73"/>
      <c r="I4499" s="74"/>
      <c r="J4499" s="156">
        <v>0</v>
      </c>
    </row>
    <row r="4500" spans="1:10" ht="26.25" hidden="1" thickBot="1" x14ac:dyDescent="0.3">
      <c r="A4500" s="227"/>
      <c r="B4500" s="225"/>
      <c r="C4500" s="36" t="s">
        <v>1392</v>
      </c>
      <c r="D4500" s="36" t="s">
        <v>1001</v>
      </c>
      <c r="E4500" s="37">
        <v>6.7999999999999996E-3</v>
      </c>
      <c r="F4500" s="54">
        <v>18.277999999999999</v>
      </c>
      <c r="G4500" s="54">
        <f t="shared" si="78"/>
        <v>0.12429039999999998</v>
      </c>
      <c r="H4500" s="73"/>
      <c r="I4500" s="74"/>
      <c r="J4500" s="156">
        <v>0</v>
      </c>
    </row>
    <row r="4501" spans="1:10" ht="26.25" hidden="1" thickBot="1" x14ac:dyDescent="0.3">
      <c r="A4501" s="227"/>
      <c r="B4501" s="225"/>
      <c r="C4501" s="36" t="s">
        <v>1393</v>
      </c>
      <c r="D4501" s="36" t="s">
        <v>1003</v>
      </c>
      <c r="E4501" s="37">
        <v>9.4000000000000004E-3</v>
      </c>
      <c r="F4501" s="54">
        <v>17.574999999999999</v>
      </c>
      <c r="G4501" s="54">
        <f t="shared" si="78"/>
        <v>0.16520499999999999</v>
      </c>
      <c r="H4501" s="73"/>
      <c r="I4501" s="74"/>
      <c r="J4501" s="156">
        <v>0</v>
      </c>
    </row>
    <row r="4502" spans="1:10" ht="15.75" hidden="1" thickBot="1" x14ac:dyDescent="0.3">
      <c r="A4502" s="228"/>
      <c r="B4502" s="226"/>
      <c r="C4502" s="55"/>
      <c r="D4502" s="55"/>
      <c r="E4502" s="66"/>
      <c r="F4502" s="76" t="s">
        <v>572</v>
      </c>
      <c r="G4502" s="76" t="str">
        <f t="shared" si="78"/>
        <v/>
      </c>
      <c r="H4502" s="77"/>
      <c r="I4502" s="74"/>
      <c r="J4502" s="156">
        <v>0</v>
      </c>
    </row>
    <row r="4503" spans="1:10" ht="15.75" hidden="1" thickBot="1" x14ac:dyDescent="0.3">
      <c r="A4503" s="221" t="s">
        <v>1465</v>
      </c>
      <c r="B4503" s="224" t="str">
        <f>INDEX(Orçamentária!A:B,MATCH(Composições!A4503,Orçamentária!A:A,0),2)</f>
        <v>Revestimento impermeabilizante bloqueador de umidade</v>
      </c>
      <c r="C4503" s="41"/>
      <c r="D4503" s="26" t="str">
        <f>TRIM(INDEX(Orçamentária!C:C,MATCH(Composições!A4503,Orçamentária!A:A,0),1))</f>
        <v>m2</v>
      </c>
      <c r="E4503" s="27"/>
      <c r="F4503" s="49" t="s">
        <v>572</v>
      </c>
      <c r="G4503" s="28" t="str">
        <f t="shared" si="78"/>
        <v/>
      </c>
      <c r="H4503" s="29"/>
      <c r="I4503" s="30"/>
      <c r="J4503" s="156">
        <v>0</v>
      </c>
    </row>
    <row r="4504" spans="1:10" ht="15.75" hidden="1" thickBot="1" x14ac:dyDescent="0.3">
      <c r="A4504" s="227"/>
      <c r="B4504" s="225"/>
      <c r="C4504" s="32"/>
      <c r="D4504" s="32"/>
      <c r="E4504" s="33"/>
      <c r="F4504" s="54" t="s">
        <v>572</v>
      </c>
      <c r="G4504" s="54" t="str">
        <f t="shared" si="78"/>
        <v/>
      </c>
      <c r="H4504" s="73"/>
      <c r="I4504" s="74"/>
      <c r="J4504" s="156">
        <v>0</v>
      </c>
    </row>
    <row r="4505" spans="1:10" ht="15.75" hidden="1" thickBot="1" x14ac:dyDescent="0.3">
      <c r="A4505" s="227"/>
      <c r="B4505" s="225"/>
      <c r="C4505" s="36" t="s">
        <v>1110</v>
      </c>
      <c r="D4505" s="36" t="s">
        <v>759</v>
      </c>
      <c r="E4505" s="37">
        <v>0.1</v>
      </c>
      <c r="F4505" s="54">
        <v>18.515499999999999</v>
      </c>
      <c r="G4505" s="54">
        <f t="shared" si="78"/>
        <v>1.85155</v>
      </c>
      <c r="H4505" s="39">
        <f>SUM(G4505:G4507)</f>
        <v>6.4571500000000004</v>
      </c>
      <c r="I4505" s="40"/>
      <c r="J4505" s="156">
        <v>0</v>
      </c>
    </row>
    <row r="4506" spans="1:10" ht="15.75" hidden="1" thickBot="1" x14ac:dyDescent="0.3">
      <c r="A4506" s="227"/>
      <c r="B4506" s="225"/>
      <c r="C4506" s="36" t="s">
        <v>1156</v>
      </c>
      <c r="D4506" s="36" t="s">
        <v>759</v>
      </c>
      <c r="E4506" s="37">
        <v>0.2</v>
      </c>
      <c r="F4506" s="54">
        <v>23.027999999999999</v>
      </c>
      <c r="G4506" s="54">
        <f t="shared" si="78"/>
        <v>4.6055999999999999</v>
      </c>
      <c r="H4506" s="73"/>
      <c r="I4506" s="74"/>
      <c r="J4506" s="156">
        <v>0</v>
      </c>
    </row>
    <row r="4507" spans="1:10" ht="15.75" hidden="1" thickBot="1" x14ac:dyDescent="0.3">
      <c r="A4507" s="227"/>
      <c r="B4507" s="225"/>
      <c r="C4507" s="36" t="s">
        <v>3632</v>
      </c>
      <c r="D4507" s="36" t="s">
        <v>105</v>
      </c>
      <c r="E4507" s="37">
        <f>2*3.6/75</f>
        <v>9.6000000000000002E-2</v>
      </c>
      <c r="F4507" s="54" t="s">
        <v>572</v>
      </c>
      <c r="G4507" s="54" t="str">
        <f t="shared" si="78"/>
        <v/>
      </c>
      <c r="H4507" s="73"/>
      <c r="I4507" s="74"/>
      <c r="J4507" s="156">
        <v>0</v>
      </c>
    </row>
    <row r="4508" spans="1:10" ht="15.75" hidden="1" thickBot="1" x14ac:dyDescent="0.3">
      <c r="A4508" s="227"/>
      <c r="B4508" s="225"/>
      <c r="C4508" s="36"/>
      <c r="D4508" s="36"/>
      <c r="E4508" s="37"/>
      <c r="F4508" s="54" t="s">
        <v>572</v>
      </c>
      <c r="G4508" s="54" t="str">
        <f t="shared" si="78"/>
        <v/>
      </c>
      <c r="H4508" s="73"/>
      <c r="I4508" s="74"/>
      <c r="J4508" s="156">
        <v>0</v>
      </c>
    </row>
    <row r="4509" spans="1:10" ht="39" hidden="1" thickBot="1" x14ac:dyDescent="0.3">
      <c r="A4509" s="227"/>
      <c r="B4509" s="225"/>
      <c r="C4509" s="48" t="s">
        <v>1466</v>
      </c>
      <c r="D4509" s="36"/>
      <c r="E4509" s="37"/>
      <c r="F4509" s="54" t="s">
        <v>572</v>
      </c>
      <c r="G4509" s="54" t="str">
        <f t="shared" si="78"/>
        <v/>
      </c>
      <c r="H4509" s="73"/>
      <c r="I4509" s="74"/>
      <c r="J4509" s="156">
        <v>0</v>
      </c>
    </row>
    <row r="4510" spans="1:10" ht="15.75" hidden="1" thickBot="1" x14ac:dyDescent="0.3">
      <c r="A4510" s="227"/>
      <c r="B4510" s="225"/>
      <c r="C4510" s="36"/>
      <c r="D4510" s="36"/>
      <c r="E4510" s="37"/>
      <c r="F4510" s="54" t="s">
        <v>572</v>
      </c>
      <c r="G4510" s="54" t="str">
        <f t="shared" si="78"/>
        <v/>
      </c>
      <c r="H4510" s="73"/>
      <c r="I4510" s="74"/>
      <c r="J4510" s="156">
        <v>0</v>
      </c>
    </row>
    <row r="4511" spans="1:10" ht="15.75" hidden="1" thickBot="1" x14ac:dyDescent="0.3">
      <c r="A4511" s="221" t="s">
        <v>1467</v>
      </c>
      <c r="B4511" s="224" t="str">
        <f>INDEX(Orçamentária!A:B,MATCH(Composições!A4511,Orçamentária!A:A,0),2)</f>
        <v>Pintura com tinta refletiva aluminizada para impermeabilização</v>
      </c>
      <c r="C4511" s="41"/>
      <c r="D4511" s="26" t="str">
        <f>TRIM(INDEX(Orçamentária!C:C,MATCH(Composições!A4511,Orçamentária!A:A,0),1))</f>
        <v>m2</v>
      </c>
      <c r="E4511" s="27"/>
      <c r="F4511" s="49" t="s">
        <v>572</v>
      </c>
      <c r="G4511" s="28" t="str">
        <f t="shared" si="78"/>
        <v/>
      </c>
      <c r="H4511" s="29"/>
      <c r="I4511" s="30"/>
      <c r="J4511" s="156">
        <v>0</v>
      </c>
    </row>
    <row r="4512" spans="1:10" ht="15.75" hidden="1" thickBot="1" x14ac:dyDescent="0.3">
      <c r="A4512" s="227"/>
      <c r="B4512" s="225"/>
      <c r="C4512" s="32"/>
      <c r="D4512" s="32"/>
      <c r="E4512" s="33"/>
      <c r="F4512" s="54" t="s">
        <v>572</v>
      </c>
      <c r="G4512" s="54" t="str">
        <f t="shared" si="78"/>
        <v/>
      </c>
      <c r="H4512" s="73"/>
      <c r="I4512" s="74"/>
      <c r="J4512" s="156">
        <v>0</v>
      </c>
    </row>
    <row r="4513" spans="1:10" ht="15.75" hidden="1" thickBot="1" x14ac:dyDescent="0.3">
      <c r="A4513" s="227"/>
      <c r="B4513" s="225"/>
      <c r="C4513" s="36" t="s">
        <v>1110</v>
      </c>
      <c r="D4513" s="36" t="s">
        <v>759</v>
      </c>
      <c r="E4513" s="37">
        <v>0.1</v>
      </c>
      <c r="F4513" s="54">
        <v>18.515499999999999</v>
      </c>
      <c r="G4513" s="54">
        <f t="shared" si="78"/>
        <v>1.85155</v>
      </c>
      <c r="H4513" s="39">
        <f>SUM(G4513:G4515)</f>
        <v>6.4571500000000004</v>
      </c>
      <c r="I4513" s="40"/>
      <c r="J4513" s="156">
        <v>0</v>
      </c>
    </row>
    <row r="4514" spans="1:10" ht="15.75" hidden="1" thickBot="1" x14ac:dyDescent="0.3">
      <c r="A4514" s="227"/>
      <c r="B4514" s="225"/>
      <c r="C4514" s="36" t="s">
        <v>1156</v>
      </c>
      <c r="D4514" s="36" t="s">
        <v>759</v>
      </c>
      <c r="E4514" s="37">
        <v>0.2</v>
      </c>
      <c r="F4514" s="54">
        <v>23.027999999999999</v>
      </c>
      <c r="G4514" s="54">
        <f t="shared" si="78"/>
        <v>4.6055999999999999</v>
      </c>
      <c r="H4514" s="73"/>
      <c r="I4514" s="74"/>
      <c r="J4514" s="156">
        <v>0</v>
      </c>
    </row>
    <row r="4515" spans="1:10" ht="15.75" hidden="1" thickBot="1" x14ac:dyDescent="0.3">
      <c r="A4515" s="227"/>
      <c r="B4515" s="225"/>
      <c r="C4515" s="36" t="s">
        <v>1468</v>
      </c>
      <c r="D4515" s="36" t="s">
        <v>105</v>
      </c>
      <c r="E4515" s="37">
        <v>0.5</v>
      </c>
      <c r="F4515" s="54">
        <v>0</v>
      </c>
      <c r="G4515" s="54">
        <f t="shared" si="78"/>
        <v>0</v>
      </c>
      <c r="H4515" s="73"/>
      <c r="I4515" s="74"/>
      <c r="J4515" s="156">
        <v>0</v>
      </c>
    </row>
    <row r="4516" spans="1:10" ht="15.75" hidden="1" thickBot="1" x14ac:dyDescent="0.3">
      <c r="A4516" s="227"/>
      <c r="B4516" s="225"/>
      <c r="C4516" s="36"/>
      <c r="D4516" s="36"/>
      <c r="E4516" s="37"/>
      <c r="F4516" s="54" t="s">
        <v>572</v>
      </c>
      <c r="G4516" s="54" t="str">
        <f t="shared" si="78"/>
        <v/>
      </c>
      <c r="H4516" s="73"/>
      <c r="I4516" s="74"/>
      <c r="J4516" s="156">
        <v>0</v>
      </c>
    </row>
    <row r="4517" spans="1:10" ht="15.75" hidden="1" thickBot="1" x14ac:dyDescent="0.3">
      <c r="A4517" s="221" t="s">
        <v>1469</v>
      </c>
      <c r="B4517" s="224" t="str">
        <f>INDEX(Orçamentária!A:B,MATCH(Composições!A4517,Orçamentária!A:A,0),2)</f>
        <v>Concreto leve com poliestireno expandido</v>
      </c>
      <c r="C4517" s="41"/>
      <c r="D4517" s="26" t="str">
        <f>TRIM(INDEX(Orçamentária!C:C,MATCH(Composições!A4517,Orçamentária!A:A,0),1))</f>
        <v>m3</v>
      </c>
      <c r="E4517" s="27"/>
      <c r="F4517" s="49" t="s">
        <v>572</v>
      </c>
      <c r="G4517" s="28" t="str">
        <f t="shared" si="78"/>
        <v/>
      </c>
      <c r="H4517" s="29"/>
      <c r="I4517" s="30"/>
      <c r="J4517" s="156">
        <v>0</v>
      </c>
    </row>
    <row r="4518" spans="1:10" ht="15.75" hidden="1" thickBot="1" x14ac:dyDescent="0.3">
      <c r="A4518" s="227"/>
      <c r="B4518" s="225"/>
      <c r="C4518" s="32"/>
      <c r="D4518" s="32"/>
      <c r="E4518" s="33"/>
      <c r="F4518" s="54" t="s">
        <v>572</v>
      </c>
      <c r="G4518" s="54" t="str">
        <f t="shared" si="78"/>
        <v/>
      </c>
      <c r="H4518" s="73"/>
      <c r="I4518" s="74"/>
      <c r="J4518" s="156">
        <v>0</v>
      </c>
    </row>
    <row r="4519" spans="1:10" ht="15.75" hidden="1" thickBot="1" x14ac:dyDescent="0.3">
      <c r="A4519" s="227"/>
      <c r="B4519" s="225"/>
      <c r="C4519" s="36" t="s">
        <v>760</v>
      </c>
      <c r="D4519" s="36" t="s">
        <v>759</v>
      </c>
      <c r="E4519" s="37">
        <v>6.5</v>
      </c>
      <c r="F4519" s="54">
        <v>16.311500000000002</v>
      </c>
      <c r="G4519" s="54">
        <f t="shared" si="78"/>
        <v>106.02475000000001</v>
      </c>
      <c r="H4519" s="39">
        <f>SUM(G4519:G4525)</f>
        <v>876.31320084890001</v>
      </c>
      <c r="I4519" s="40"/>
      <c r="J4519" s="156">
        <v>0</v>
      </c>
    </row>
    <row r="4520" spans="1:10" ht="26.25" hidden="1" thickBot="1" x14ac:dyDescent="0.3">
      <c r="A4520" s="227"/>
      <c r="B4520" s="225"/>
      <c r="C4520" s="36" t="s">
        <v>809</v>
      </c>
      <c r="D4520" s="36" t="s">
        <v>112</v>
      </c>
      <c r="E4520" s="37">
        <v>0.35799999999999998</v>
      </c>
      <c r="F4520" s="54">
        <v>90.25</v>
      </c>
      <c r="G4520" s="54">
        <f t="shared" ref="G4520:G4583" si="79">IF(ISNUMBER(F4520),E4520*F4520,"")</f>
        <v>32.3095</v>
      </c>
      <c r="H4520" s="73"/>
      <c r="I4520" s="74"/>
      <c r="J4520" s="156">
        <v>0</v>
      </c>
    </row>
    <row r="4521" spans="1:10" ht="15.75" hidden="1" thickBot="1" x14ac:dyDescent="0.3">
      <c r="A4521" s="227"/>
      <c r="B4521" s="225"/>
      <c r="C4521" s="36" t="s">
        <v>805</v>
      </c>
      <c r="D4521" s="36" t="s">
        <v>957</v>
      </c>
      <c r="E4521" s="37">
        <v>400</v>
      </c>
      <c r="F4521" s="54">
        <v>0.47499999999999998</v>
      </c>
      <c r="G4521" s="54">
        <f t="shared" si="79"/>
        <v>190</v>
      </c>
      <c r="H4521" s="73"/>
      <c r="I4521" s="74"/>
      <c r="J4521" s="156">
        <v>0</v>
      </c>
    </row>
    <row r="4522" spans="1:10" ht="26.25" hidden="1" thickBot="1" x14ac:dyDescent="0.3">
      <c r="A4522" s="227"/>
      <c r="B4522" s="225"/>
      <c r="C4522" s="36" t="s">
        <v>1470</v>
      </c>
      <c r="D4522" s="36" t="s">
        <v>42</v>
      </c>
      <c r="E4522" s="37">
        <v>10.5</v>
      </c>
      <c r="F4522" s="54">
        <v>50.701499999999996</v>
      </c>
      <c r="G4522" s="54">
        <f t="shared" si="79"/>
        <v>532.36574999999993</v>
      </c>
      <c r="H4522" s="73"/>
      <c r="I4522" s="74"/>
      <c r="J4522" s="156">
        <v>0</v>
      </c>
    </row>
    <row r="4523" spans="1:10" ht="39" hidden="1" thickBot="1" x14ac:dyDescent="0.3">
      <c r="A4523" s="227"/>
      <c r="B4523" s="225"/>
      <c r="C4523" s="36" t="s">
        <v>121</v>
      </c>
      <c r="D4523" s="36" t="s">
        <v>1001</v>
      </c>
      <c r="E4523" s="37">
        <v>0.34300000000000003</v>
      </c>
      <c r="F4523" s="54">
        <v>1.2064999999999999</v>
      </c>
      <c r="G4523" s="54">
        <f t="shared" si="79"/>
        <v>0.41382950000000002</v>
      </c>
      <c r="H4523" s="73"/>
      <c r="I4523" s="74"/>
      <c r="J4523" s="156">
        <v>0</v>
      </c>
    </row>
    <row r="4524" spans="1:10" ht="51.75" hidden="1" thickBot="1" x14ac:dyDescent="0.3">
      <c r="A4524" s="227"/>
      <c r="B4524" s="225"/>
      <c r="C4524" s="36" t="s">
        <v>3619</v>
      </c>
      <c r="D4524" s="36" t="s">
        <v>112</v>
      </c>
      <c r="E4524" s="37">
        <f>1*E4520</f>
        <v>0.35799999999999998</v>
      </c>
      <c r="F4524" s="34">
        <v>5.5686425499999999</v>
      </c>
      <c r="G4524" s="34">
        <f t="shared" si="79"/>
        <v>1.9935740328999998</v>
      </c>
      <c r="H4524" s="35"/>
      <c r="I4524" s="31"/>
      <c r="J4524" s="156">
        <v>0</v>
      </c>
    </row>
    <row r="4525" spans="1:10" ht="39" hidden="1" thickBot="1" x14ac:dyDescent="0.3">
      <c r="A4525" s="227"/>
      <c r="B4525" s="225"/>
      <c r="C4525" s="36" t="s">
        <v>125</v>
      </c>
      <c r="D4525" s="36" t="s">
        <v>126</v>
      </c>
      <c r="E4525" s="37">
        <f>E4520*20</f>
        <v>7.16</v>
      </c>
      <c r="F4525" s="54">
        <v>1.8443850999999998</v>
      </c>
      <c r="G4525" s="54">
        <f t="shared" si="79"/>
        <v>13.205797315999998</v>
      </c>
      <c r="H4525" s="73"/>
      <c r="I4525" s="74"/>
      <c r="J4525" s="156">
        <v>0</v>
      </c>
    </row>
    <row r="4526" spans="1:10" ht="15.75" hidden="1" thickBot="1" x14ac:dyDescent="0.3">
      <c r="A4526" s="227"/>
      <c r="B4526" s="225"/>
      <c r="C4526" s="36"/>
      <c r="D4526" s="36"/>
      <c r="E4526" s="37"/>
      <c r="F4526" s="54" t="s">
        <v>572</v>
      </c>
      <c r="G4526" s="54" t="str">
        <f t="shared" si="79"/>
        <v/>
      </c>
      <c r="H4526" s="73"/>
      <c r="I4526" s="74"/>
      <c r="J4526" s="156">
        <v>0</v>
      </c>
    </row>
    <row r="4527" spans="1:10" ht="15.75" hidden="1" thickBot="1" x14ac:dyDescent="0.3">
      <c r="A4527" s="227"/>
      <c r="B4527" s="225"/>
      <c r="C4527" s="48" t="s">
        <v>1471</v>
      </c>
      <c r="D4527" s="36"/>
      <c r="E4527" s="37"/>
      <c r="F4527" s="54" t="s">
        <v>572</v>
      </c>
      <c r="G4527" s="54" t="str">
        <f t="shared" si="79"/>
        <v/>
      </c>
      <c r="H4527" s="73"/>
      <c r="I4527" s="74"/>
      <c r="J4527" s="156">
        <v>0</v>
      </c>
    </row>
    <row r="4528" spans="1:10" ht="15.75" hidden="1" thickBot="1" x14ac:dyDescent="0.3">
      <c r="A4528" s="227"/>
      <c r="B4528" s="225"/>
      <c r="C4528" s="36"/>
      <c r="D4528" s="36"/>
      <c r="E4528" s="37"/>
      <c r="F4528" s="54" t="s">
        <v>572</v>
      </c>
      <c r="G4528" s="54" t="str">
        <f t="shared" si="79"/>
        <v/>
      </c>
      <c r="H4528" s="73"/>
      <c r="I4528" s="74"/>
      <c r="J4528" s="156">
        <v>0</v>
      </c>
    </row>
    <row r="4529" spans="1:10" ht="15.75" hidden="1" thickBot="1" x14ac:dyDescent="0.3">
      <c r="A4529" s="221" t="s">
        <v>1472</v>
      </c>
      <c r="B4529" s="224" t="str">
        <f>INDEX(Orçamentária!A:B,MATCH(Composições!A4529,Orçamentária!A:A,0),2)</f>
        <v>Colagem da camada de proteção térmica de impermeabilização</v>
      </c>
      <c r="C4529" s="41"/>
      <c r="D4529" s="26" t="str">
        <f>TRIM(INDEX(Orçamentária!C:C,MATCH(Composições!A4529,Orçamentária!A:A,0),1))</f>
        <v>m2</v>
      </c>
      <c r="E4529" s="27"/>
      <c r="F4529" s="49" t="s">
        <v>572</v>
      </c>
      <c r="G4529" s="28" t="str">
        <f t="shared" si="79"/>
        <v/>
      </c>
      <c r="H4529" s="29"/>
      <c r="I4529" s="30"/>
      <c r="J4529" s="156">
        <v>0</v>
      </c>
    </row>
    <row r="4530" spans="1:10" ht="15.75" hidden="1" thickBot="1" x14ac:dyDescent="0.3">
      <c r="A4530" s="227"/>
      <c r="B4530" s="225"/>
      <c r="C4530" s="32"/>
      <c r="D4530" s="32"/>
      <c r="E4530" s="33"/>
      <c r="F4530" s="54" t="s">
        <v>572</v>
      </c>
      <c r="G4530" s="54" t="str">
        <f t="shared" si="79"/>
        <v/>
      </c>
      <c r="H4530" s="73"/>
      <c r="I4530" s="74"/>
      <c r="J4530" s="156">
        <v>0</v>
      </c>
    </row>
    <row r="4531" spans="1:10" ht="26.25" hidden="1" thickBot="1" x14ac:dyDescent="0.3">
      <c r="A4531" s="227"/>
      <c r="B4531" s="225"/>
      <c r="C4531" s="36" t="s">
        <v>1473</v>
      </c>
      <c r="D4531" s="36" t="s">
        <v>105</v>
      </c>
      <c r="E4531" s="37">
        <v>0.35</v>
      </c>
      <c r="F4531" s="54">
        <v>13.8985</v>
      </c>
      <c r="G4531" s="54">
        <f t="shared" si="79"/>
        <v>4.8644749999999997</v>
      </c>
      <c r="H4531" s="39">
        <f>SUM(G4531:G4532)</f>
        <v>6.5109674999999996</v>
      </c>
      <c r="I4531" s="40"/>
      <c r="J4531" s="156">
        <v>0</v>
      </c>
    </row>
    <row r="4532" spans="1:10" ht="15.75" hidden="1" thickBot="1" x14ac:dyDescent="0.3">
      <c r="A4532" s="227"/>
      <c r="B4532" s="225"/>
      <c r="C4532" s="36" t="s">
        <v>1474</v>
      </c>
      <c r="D4532" s="36" t="s">
        <v>759</v>
      </c>
      <c r="E4532" s="37">
        <v>8.5000000000000006E-2</v>
      </c>
      <c r="F4532" s="54">
        <v>19.3705</v>
      </c>
      <c r="G4532" s="54">
        <f t="shared" si="79"/>
        <v>1.6464925000000001</v>
      </c>
      <c r="H4532" s="73"/>
      <c r="I4532" s="74"/>
      <c r="J4532" s="156">
        <v>0</v>
      </c>
    </row>
    <row r="4533" spans="1:10" ht="15.75" hidden="1" thickBot="1" x14ac:dyDescent="0.3">
      <c r="A4533" s="227"/>
      <c r="B4533" s="225"/>
      <c r="C4533" s="36"/>
      <c r="D4533" s="36"/>
      <c r="E4533" s="37"/>
      <c r="F4533" s="54" t="s">
        <v>572</v>
      </c>
      <c r="G4533" s="54" t="str">
        <f t="shared" si="79"/>
        <v/>
      </c>
      <c r="H4533" s="73"/>
      <c r="I4533" s="74"/>
      <c r="J4533" s="156">
        <v>0</v>
      </c>
    </row>
    <row r="4534" spans="1:10" ht="26.25" hidden="1" thickBot="1" x14ac:dyDescent="0.3">
      <c r="A4534" s="227"/>
      <c r="B4534" s="225"/>
      <c r="C4534" s="48" t="s">
        <v>1475</v>
      </c>
      <c r="D4534" s="36"/>
      <c r="E4534" s="37"/>
      <c r="F4534" s="54" t="s">
        <v>572</v>
      </c>
      <c r="G4534" s="54" t="str">
        <f t="shared" si="79"/>
        <v/>
      </c>
      <c r="H4534" s="73"/>
      <c r="I4534" s="74"/>
      <c r="J4534" s="156">
        <v>0</v>
      </c>
    </row>
    <row r="4535" spans="1:10" ht="15.75" hidden="1" thickBot="1" x14ac:dyDescent="0.3">
      <c r="A4535" s="227"/>
      <c r="B4535" s="225"/>
      <c r="C4535" s="154" t="s">
        <v>1476</v>
      </c>
      <c r="D4535" s="36"/>
      <c r="E4535" s="37"/>
      <c r="F4535" s="54" t="s">
        <v>572</v>
      </c>
      <c r="G4535" s="54" t="str">
        <f t="shared" si="79"/>
        <v/>
      </c>
      <c r="H4535" s="73"/>
      <c r="I4535" s="74"/>
      <c r="J4535" s="156">
        <v>0</v>
      </c>
    </row>
    <row r="4536" spans="1:10" ht="15.75" hidden="1" thickBot="1" x14ac:dyDescent="0.3">
      <c r="A4536" s="228"/>
      <c r="B4536" s="226"/>
      <c r="C4536" s="36"/>
      <c r="D4536" s="36"/>
      <c r="E4536" s="37"/>
      <c r="F4536" s="54" t="s">
        <v>572</v>
      </c>
      <c r="G4536" s="54" t="str">
        <f t="shared" si="79"/>
        <v/>
      </c>
      <c r="H4536" s="73"/>
      <c r="I4536" s="74"/>
      <c r="J4536" s="156">
        <v>0</v>
      </c>
    </row>
    <row r="4537" spans="1:10" ht="15.75" hidden="1" thickBot="1" x14ac:dyDescent="0.3">
      <c r="A4537" s="221" t="s">
        <v>1477</v>
      </c>
      <c r="B4537" s="224" t="str">
        <f>INDEX(Orçamentária!A:B,MATCH(Composições!A4537,Orçamentária!A:A,0),2)</f>
        <v>Impermeabilização com Membrana de Poliuretano</v>
      </c>
      <c r="C4537" s="41"/>
      <c r="D4537" s="26" t="str">
        <f>TRIM(INDEX(Orçamentária!C:C,MATCH(Composições!A4537,Orçamentária!A:A,0),1))</f>
        <v>m2</v>
      </c>
      <c r="E4537" s="27"/>
      <c r="F4537" s="49" t="s">
        <v>572</v>
      </c>
      <c r="G4537" s="28" t="str">
        <f t="shared" si="79"/>
        <v/>
      </c>
      <c r="H4537" s="29"/>
      <c r="I4537" s="30"/>
      <c r="J4537" s="156">
        <v>0</v>
      </c>
    </row>
    <row r="4538" spans="1:10" ht="15.75" hidden="1" thickBot="1" x14ac:dyDescent="0.3">
      <c r="A4538" s="227"/>
      <c r="B4538" s="225"/>
      <c r="C4538" s="32"/>
      <c r="D4538" s="32"/>
      <c r="E4538" s="33"/>
      <c r="F4538" s="54" t="s">
        <v>572</v>
      </c>
      <c r="G4538" s="54" t="str">
        <f t="shared" si="79"/>
        <v/>
      </c>
      <c r="H4538" s="73"/>
      <c r="I4538" s="74"/>
      <c r="J4538" s="156">
        <v>0</v>
      </c>
    </row>
    <row r="4539" spans="1:10" ht="15.75" hidden="1" thickBot="1" x14ac:dyDescent="0.3">
      <c r="A4539" s="227"/>
      <c r="B4539" s="225"/>
      <c r="C4539" s="36" t="s">
        <v>1478</v>
      </c>
      <c r="D4539" s="36" t="s">
        <v>957</v>
      </c>
      <c r="E4539" s="37">
        <v>2</v>
      </c>
      <c r="F4539" s="54">
        <v>48.592499999999994</v>
      </c>
      <c r="G4539" s="54">
        <f t="shared" si="79"/>
        <v>97.184999999999988</v>
      </c>
      <c r="H4539" s="39">
        <f>SUM(G4539:G4541)</f>
        <v>109.55821799999998</v>
      </c>
      <c r="I4539" s="40"/>
      <c r="J4539" s="156">
        <v>0</v>
      </c>
    </row>
    <row r="4540" spans="1:10" ht="15.75" hidden="1" thickBot="1" x14ac:dyDescent="0.3">
      <c r="A4540" s="227"/>
      <c r="B4540" s="225"/>
      <c r="C4540" s="36" t="s">
        <v>1474</v>
      </c>
      <c r="D4540" s="36" t="s">
        <v>759</v>
      </c>
      <c r="E4540" s="37">
        <v>9.6000000000000002E-2</v>
      </c>
      <c r="F4540" s="54">
        <v>19.3705</v>
      </c>
      <c r="G4540" s="54">
        <f t="shared" si="79"/>
        <v>1.8595680000000001</v>
      </c>
      <c r="H4540" s="73"/>
      <c r="I4540" s="74"/>
      <c r="J4540" s="156">
        <v>0</v>
      </c>
    </row>
    <row r="4541" spans="1:10" ht="15.75" hidden="1" thickBot="1" x14ac:dyDescent="0.3">
      <c r="A4541" s="227"/>
      <c r="B4541" s="225"/>
      <c r="C4541" s="36" t="s">
        <v>1075</v>
      </c>
      <c r="D4541" s="36" t="s">
        <v>759</v>
      </c>
      <c r="E4541" s="37">
        <v>0.47599999999999998</v>
      </c>
      <c r="F4541" s="54">
        <v>22.087499999999999</v>
      </c>
      <c r="G4541" s="54">
        <f t="shared" si="79"/>
        <v>10.513649999999998</v>
      </c>
      <c r="H4541" s="73"/>
      <c r="I4541" s="74"/>
      <c r="J4541" s="156">
        <v>0</v>
      </c>
    </row>
    <row r="4542" spans="1:10" ht="15.75" hidden="1" thickBot="1" x14ac:dyDescent="0.3">
      <c r="A4542" s="227"/>
      <c r="B4542" s="225"/>
      <c r="C4542" s="36"/>
      <c r="D4542" s="36"/>
      <c r="E4542" s="37"/>
      <c r="F4542" s="54" t="s">
        <v>572</v>
      </c>
      <c r="G4542" s="54" t="str">
        <f t="shared" si="79"/>
        <v/>
      </c>
      <c r="H4542" s="73"/>
      <c r="I4542" s="74"/>
      <c r="J4542" s="156">
        <v>0</v>
      </c>
    </row>
    <row r="4543" spans="1:10" ht="15.75" hidden="1" thickBot="1" x14ac:dyDescent="0.3">
      <c r="A4543" s="221" t="s">
        <v>1479</v>
      </c>
      <c r="B4543" s="224" t="str">
        <f>INDEX(Orçamentária!A:B,MATCH(Composições!A4543,Orçamentária!A:A,0),2)</f>
        <v>Impermeabilização com Manta Asfáltica</v>
      </c>
      <c r="C4543" s="41"/>
      <c r="D4543" s="26" t="str">
        <f>TRIM(INDEX(Orçamentária!C:C,MATCH(Composições!A4543,Orçamentária!A:A,0),1))</f>
        <v>m2</v>
      </c>
      <c r="E4543" s="27"/>
      <c r="F4543" s="49" t="s">
        <v>572</v>
      </c>
      <c r="G4543" s="28" t="str">
        <f t="shared" si="79"/>
        <v/>
      </c>
      <c r="H4543" s="29"/>
      <c r="I4543" s="30"/>
      <c r="J4543" s="156">
        <v>0</v>
      </c>
    </row>
    <row r="4544" spans="1:10" ht="15.75" hidden="1" thickBot="1" x14ac:dyDescent="0.3">
      <c r="A4544" s="227"/>
      <c r="B4544" s="225"/>
      <c r="C4544" s="32"/>
      <c r="D4544" s="32"/>
      <c r="E4544" s="33"/>
      <c r="F4544" s="54" t="s">
        <v>572</v>
      </c>
      <c r="G4544" s="54" t="str">
        <f t="shared" si="79"/>
        <v/>
      </c>
      <c r="H4544" s="73"/>
      <c r="I4544" s="74"/>
      <c r="J4544" s="156">
        <v>0</v>
      </c>
    </row>
    <row r="4545" spans="1:10" ht="26.25" hidden="1" thickBot="1" x14ac:dyDescent="0.3">
      <c r="A4545" s="227"/>
      <c r="B4545" s="225"/>
      <c r="C4545" s="36" t="s">
        <v>1473</v>
      </c>
      <c r="D4545" s="36" t="s">
        <v>105</v>
      </c>
      <c r="E4545" s="37">
        <v>0.61499999999999999</v>
      </c>
      <c r="F4545" s="54">
        <v>13.8985</v>
      </c>
      <c r="G4545" s="54">
        <f t="shared" si="79"/>
        <v>8.5475775000000009</v>
      </c>
      <c r="H4545" s="39">
        <f>SUM(G4545:G4549)</f>
        <v>80.455718500000003</v>
      </c>
      <c r="I4545" s="40"/>
      <c r="J4545" s="156">
        <v>0</v>
      </c>
    </row>
    <row r="4546" spans="1:10" ht="26.25" hidden="1" thickBot="1" x14ac:dyDescent="0.3">
      <c r="A4546" s="227"/>
      <c r="B4546" s="225"/>
      <c r="C4546" s="36" t="s">
        <v>1480</v>
      </c>
      <c r="D4546" s="36" t="s">
        <v>1053</v>
      </c>
      <c r="E4546" s="37">
        <v>1.125</v>
      </c>
      <c r="F4546" s="54">
        <v>40.640999999999998</v>
      </c>
      <c r="G4546" s="54">
        <f t="shared" si="79"/>
        <v>45.721125000000001</v>
      </c>
      <c r="H4546" s="73"/>
      <c r="I4546" s="74"/>
      <c r="J4546" s="156">
        <v>0</v>
      </c>
    </row>
    <row r="4547" spans="1:10" ht="15.75" hidden="1" thickBot="1" x14ac:dyDescent="0.3">
      <c r="A4547" s="227"/>
      <c r="B4547" s="225"/>
      <c r="C4547" s="36" t="s">
        <v>1481</v>
      </c>
      <c r="D4547" s="36" t="s">
        <v>957</v>
      </c>
      <c r="E4547" s="37">
        <v>0.26</v>
      </c>
      <c r="F4547" s="54">
        <v>5.8805000000000005</v>
      </c>
      <c r="G4547" s="54">
        <f t="shared" si="79"/>
        <v>1.5289300000000001</v>
      </c>
      <c r="H4547" s="73"/>
      <c r="I4547" s="74"/>
      <c r="J4547" s="156">
        <v>0</v>
      </c>
    </row>
    <row r="4548" spans="1:10" ht="15.75" hidden="1" thickBot="1" x14ac:dyDescent="0.3">
      <c r="A4548" s="227"/>
      <c r="B4548" s="225"/>
      <c r="C4548" s="36" t="s">
        <v>1474</v>
      </c>
      <c r="D4548" s="36" t="s">
        <v>759</v>
      </c>
      <c r="E4548" s="37">
        <v>0.192</v>
      </c>
      <c r="F4548" s="54">
        <v>19.3705</v>
      </c>
      <c r="G4548" s="54">
        <f t="shared" si="79"/>
        <v>3.7191360000000002</v>
      </c>
      <c r="H4548" s="73"/>
      <c r="I4548" s="74"/>
      <c r="J4548" s="156">
        <v>0</v>
      </c>
    </row>
    <row r="4549" spans="1:10" ht="15.75" hidden="1" thickBot="1" x14ac:dyDescent="0.3">
      <c r="A4549" s="227"/>
      <c r="B4549" s="225"/>
      <c r="C4549" s="36" t="s">
        <v>1075</v>
      </c>
      <c r="D4549" s="36" t="s">
        <v>759</v>
      </c>
      <c r="E4549" s="37">
        <v>0.94799999999999995</v>
      </c>
      <c r="F4549" s="54">
        <v>22.087499999999999</v>
      </c>
      <c r="G4549" s="54">
        <f t="shared" si="79"/>
        <v>20.938949999999998</v>
      </c>
      <c r="H4549" s="73"/>
      <c r="I4549" s="74"/>
      <c r="J4549" s="156">
        <v>0</v>
      </c>
    </row>
    <row r="4550" spans="1:10" ht="15.75" hidden="1" thickBot="1" x14ac:dyDescent="0.3">
      <c r="A4550" s="227"/>
      <c r="B4550" s="225"/>
      <c r="C4550" s="36"/>
      <c r="D4550" s="36"/>
      <c r="E4550" s="37"/>
      <c r="F4550" s="54" t="s">
        <v>572</v>
      </c>
      <c r="G4550" s="54" t="str">
        <f t="shared" si="79"/>
        <v/>
      </c>
      <c r="H4550" s="73"/>
      <c r="I4550" s="74"/>
      <c r="J4550" s="156">
        <v>0</v>
      </c>
    </row>
    <row r="4551" spans="1:10" ht="15.75" hidden="1" thickBot="1" x14ac:dyDescent="0.3">
      <c r="A4551" s="221" t="s">
        <v>1482</v>
      </c>
      <c r="B4551" s="224" t="str">
        <f>INDEX(Orçamentária!A:B,MATCH(Composições!A4551,Orçamentária!A:A,0),2)</f>
        <v>Impermeabilização com manta asfáltica aluminizada</v>
      </c>
      <c r="C4551" s="41"/>
      <c r="D4551" s="26" t="str">
        <f>TRIM(INDEX(Orçamentária!C:C,MATCH(Composições!A4551,Orçamentária!A:A,0),1))</f>
        <v>m2</v>
      </c>
      <c r="E4551" s="27"/>
      <c r="F4551" s="49" t="s">
        <v>572</v>
      </c>
      <c r="G4551" s="28" t="str">
        <f t="shared" si="79"/>
        <v/>
      </c>
      <c r="H4551" s="29"/>
      <c r="I4551" s="30"/>
      <c r="J4551" s="156">
        <v>0</v>
      </c>
    </row>
    <row r="4552" spans="1:10" ht="15.75" hidden="1" thickBot="1" x14ac:dyDescent="0.3">
      <c r="A4552" s="227"/>
      <c r="B4552" s="225"/>
      <c r="C4552" s="32"/>
      <c r="D4552" s="32"/>
      <c r="E4552" s="33"/>
      <c r="F4552" s="54" t="s">
        <v>572</v>
      </c>
      <c r="G4552" s="54" t="str">
        <f t="shared" si="79"/>
        <v/>
      </c>
      <c r="H4552" s="73"/>
      <c r="I4552" s="74"/>
      <c r="J4552" s="156">
        <v>0</v>
      </c>
    </row>
    <row r="4553" spans="1:10" ht="26.25" hidden="1" thickBot="1" x14ac:dyDescent="0.3">
      <c r="A4553" s="227"/>
      <c r="B4553" s="225"/>
      <c r="C4553" s="36" t="s">
        <v>1473</v>
      </c>
      <c r="D4553" s="36" t="s">
        <v>105</v>
      </c>
      <c r="E4553" s="37">
        <v>0.61499999999999999</v>
      </c>
      <c r="F4553" s="54">
        <v>13.8985</v>
      </c>
      <c r="G4553" s="54">
        <f t="shared" si="79"/>
        <v>8.5475775000000009</v>
      </c>
      <c r="H4553" s="39">
        <f>SUM(G4553:G4557)</f>
        <v>34.734593500000003</v>
      </c>
      <c r="I4553" s="40"/>
      <c r="J4553" s="156">
        <v>0</v>
      </c>
    </row>
    <row r="4554" spans="1:10" ht="15.75" hidden="1" thickBot="1" x14ac:dyDescent="0.3">
      <c r="A4554" s="227"/>
      <c r="B4554" s="225"/>
      <c r="C4554" s="36" t="s">
        <v>1483</v>
      </c>
      <c r="D4554" s="36" t="s">
        <v>1053</v>
      </c>
      <c r="E4554" s="37">
        <v>1.125</v>
      </c>
      <c r="F4554" s="54">
        <v>0</v>
      </c>
      <c r="G4554" s="54">
        <f t="shared" si="79"/>
        <v>0</v>
      </c>
      <c r="H4554" s="73"/>
      <c r="I4554" s="74"/>
      <c r="J4554" s="156">
        <v>0</v>
      </c>
    </row>
    <row r="4555" spans="1:10" ht="15.75" hidden="1" thickBot="1" x14ac:dyDescent="0.3">
      <c r="A4555" s="227"/>
      <c r="B4555" s="225"/>
      <c r="C4555" s="36" t="s">
        <v>1481</v>
      </c>
      <c r="D4555" s="36" t="s">
        <v>957</v>
      </c>
      <c r="E4555" s="37">
        <v>0.26</v>
      </c>
      <c r="F4555" s="54">
        <v>5.8805000000000005</v>
      </c>
      <c r="G4555" s="54">
        <f t="shared" si="79"/>
        <v>1.5289300000000001</v>
      </c>
      <c r="H4555" s="73"/>
      <c r="I4555" s="74"/>
      <c r="J4555" s="156">
        <v>0</v>
      </c>
    </row>
    <row r="4556" spans="1:10" ht="15.75" hidden="1" thickBot="1" x14ac:dyDescent="0.3">
      <c r="A4556" s="227"/>
      <c r="B4556" s="225"/>
      <c r="C4556" s="36" t="s">
        <v>1474</v>
      </c>
      <c r="D4556" s="36" t="s">
        <v>759</v>
      </c>
      <c r="E4556" s="37">
        <v>0.192</v>
      </c>
      <c r="F4556" s="54">
        <v>19.3705</v>
      </c>
      <c r="G4556" s="54">
        <f t="shared" si="79"/>
        <v>3.7191360000000002</v>
      </c>
      <c r="H4556" s="73"/>
      <c r="I4556" s="74"/>
      <c r="J4556" s="156">
        <v>0</v>
      </c>
    </row>
    <row r="4557" spans="1:10" ht="15.75" hidden="1" thickBot="1" x14ac:dyDescent="0.3">
      <c r="A4557" s="227"/>
      <c r="B4557" s="225"/>
      <c r="C4557" s="36" t="s">
        <v>1075</v>
      </c>
      <c r="D4557" s="36" t="s">
        <v>759</v>
      </c>
      <c r="E4557" s="37">
        <v>0.94799999999999995</v>
      </c>
      <c r="F4557" s="54">
        <v>22.087499999999999</v>
      </c>
      <c r="G4557" s="54">
        <f t="shared" si="79"/>
        <v>20.938949999999998</v>
      </c>
      <c r="H4557" s="73"/>
      <c r="I4557" s="74"/>
      <c r="J4557" s="156">
        <v>0</v>
      </c>
    </row>
    <row r="4558" spans="1:10" ht="15.75" hidden="1" thickBot="1" x14ac:dyDescent="0.3">
      <c r="A4558" s="227"/>
      <c r="B4558" s="225"/>
      <c r="C4558" s="36"/>
      <c r="D4558" s="36"/>
      <c r="E4558" s="37"/>
      <c r="F4558" s="54" t="s">
        <v>572</v>
      </c>
      <c r="G4558" s="54" t="str">
        <f t="shared" si="79"/>
        <v/>
      </c>
      <c r="H4558" s="73"/>
      <c r="I4558" s="74"/>
      <c r="J4558" s="156">
        <v>0</v>
      </c>
    </row>
    <row r="4559" spans="1:10" ht="15.75" hidden="1" thickBot="1" x14ac:dyDescent="0.3">
      <c r="A4559" s="221" t="s">
        <v>1484</v>
      </c>
      <c r="B4559" s="224" t="str">
        <f>INDEX(Orçamentária!A:B,MATCH(Composições!A4559,Orçamentária!A:A,0),2)</f>
        <v>Impermeabilização com manta elastomérica de etileno-propileno-dieno-monômero (EPDM)</v>
      </c>
      <c r="C4559" s="41"/>
      <c r="D4559" s="26" t="str">
        <f>TRIM(INDEX(Orçamentária!C:C,MATCH(Composições!A4559,Orçamentária!A:A,0),1))</f>
        <v>m2</v>
      </c>
      <c r="E4559" s="27"/>
      <c r="F4559" s="49" t="s">
        <v>572</v>
      </c>
      <c r="G4559" s="28" t="str">
        <f t="shared" si="79"/>
        <v/>
      </c>
      <c r="H4559" s="29"/>
      <c r="I4559" s="30"/>
      <c r="J4559" s="156">
        <v>0</v>
      </c>
    </row>
    <row r="4560" spans="1:10" ht="15.75" hidden="1" thickBot="1" x14ac:dyDescent="0.3">
      <c r="A4560" s="227"/>
      <c r="B4560" s="225"/>
      <c r="C4560" s="32"/>
      <c r="D4560" s="32"/>
      <c r="E4560" s="33"/>
      <c r="F4560" s="54" t="s">
        <v>572</v>
      </c>
      <c r="G4560" s="54" t="str">
        <f t="shared" si="79"/>
        <v/>
      </c>
      <c r="H4560" s="73"/>
      <c r="I4560" s="74"/>
      <c r="J4560" s="156">
        <v>0</v>
      </c>
    </row>
    <row r="4561" spans="1:10" ht="15.75" hidden="1" thickBot="1" x14ac:dyDescent="0.3">
      <c r="A4561" s="227"/>
      <c r="B4561" s="225"/>
      <c r="C4561" s="36" t="s">
        <v>1075</v>
      </c>
      <c r="D4561" s="36" t="s">
        <v>759</v>
      </c>
      <c r="E4561" s="37">
        <v>0.5</v>
      </c>
      <c r="F4561" s="54">
        <v>22.087499999999999</v>
      </c>
      <c r="G4561" s="54">
        <f t="shared" si="79"/>
        <v>11.043749999999999</v>
      </c>
      <c r="H4561" s="39">
        <f>SUM(G4561:G4567)</f>
        <v>20.728999999999999</v>
      </c>
      <c r="I4561" s="40"/>
      <c r="J4561" s="156">
        <v>0</v>
      </c>
    </row>
    <row r="4562" spans="1:10" ht="15.75" hidden="1" thickBot="1" x14ac:dyDescent="0.3">
      <c r="A4562" s="227"/>
      <c r="B4562" s="225"/>
      <c r="C4562" s="36" t="s">
        <v>1474</v>
      </c>
      <c r="D4562" s="36" t="s">
        <v>759</v>
      </c>
      <c r="E4562" s="37">
        <v>0.5</v>
      </c>
      <c r="F4562" s="54">
        <v>19.3705</v>
      </c>
      <c r="G4562" s="54">
        <f t="shared" si="79"/>
        <v>9.6852499999999999</v>
      </c>
      <c r="H4562" s="73"/>
      <c r="I4562" s="74"/>
      <c r="J4562" s="156">
        <v>0</v>
      </c>
    </row>
    <row r="4563" spans="1:10" ht="15.75" hidden="1" thickBot="1" x14ac:dyDescent="0.3">
      <c r="A4563" s="227"/>
      <c r="B4563" s="225"/>
      <c r="C4563" s="36" t="s">
        <v>1485</v>
      </c>
      <c r="D4563" s="36" t="s">
        <v>957</v>
      </c>
      <c r="E4563" s="37">
        <v>0.8</v>
      </c>
      <c r="F4563" s="54">
        <v>0</v>
      </c>
      <c r="G4563" s="54">
        <f t="shared" si="79"/>
        <v>0</v>
      </c>
      <c r="H4563" s="73"/>
      <c r="I4563" s="74"/>
      <c r="J4563" s="156">
        <v>0</v>
      </c>
    </row>
    <row r="4564" spans="1:10" ht="15.75" hidden="1" thickBot="1" x14ac:dyDescent="0.3">
      <c r="A4564" s="227"/>
      <c r="B4564" s="225"/>
      <c r="C4564" s="36" t="s">
        <v>1486</v>
      </c>
      <c r="D4564" s="36" t="s">
        <v>105</v>
      </c>
      <c r="E4564" s="37">
        <v>0.6</v>
      </c>
      <c r="F4564" s="54">
        <v>0</v>
      </c>
      <c r="G4564" s="54">
        <f t="shared" si="79"/>
        <v>0</v>
      </c>
      <c r="H4564" s="73"/>
      <c r="I4564" s="74"/>
      <c r="J4564" s="156">
        <v>0</v>
      </c>
    </row>
    <row r="4565" spans="1:10" ht="15.75" hidden="1" thickBot="1" x14ac:dyDescent="0.3">
      <c r="A4565" s="227"/>
      <c r="B4565" s="225"/>
      <c r="C4565" s="36" t="s">
        <v>1487</v>
      </c>
      <c r="D4565" s="36" t="s">
        <v>96</v>
      </c>
      <c r="E4565" s="37">
        <v>1.1000000000000001</v>
      </c>
      <c r="F4565" s="54">
        <v>0</v>
      </c>
      <c r="G4565" s="54">
        <f t="shared" si="79"/>
        <v>0</v>
      </c>
      <c r="H4565" s="73"/>
      <c r="I4565" s="74"/>
      <c r="J4565" s="156">
        <v>0</v>
      </c>
    </row>
    <row r="4566" spans="1:10" ht="15.75" hidden="1" thickBot="1" x14ac:dyDescent="0.3">
      <c r="A4566" s="227"/>
      <c r="B4566" s="225"/>
      <c r="C4566" s="36" t="s">
        <v>1488</v>
      </c>
      <c r="D4566" s="36" t="s">
        <v>94</v>
      </c>
      <c r="E4566" s="37">
        <v>2</v>
      </c>
      <c r="F4566" s="54">
        <v>0</v>
      </c>
      <c r="G4566" s="54">
        <f t="shared" si="79"/>
        <v>0</v>
      </c>
      <c r="H4566" s="73"/>
      <c r="I4566" s="74"/>
      <c r="J4566" s="156">
        <v>0</v>
      </c>
    </row>
    <row r="4567" spans="1:10" ht="15.75" hidden="1" thickBot="1" x14ac:dyDescent="0.3">
      <c r="A4567" s="227"/>
      <c r="B4567" s="225"/>
      <c r="C4567" s="36" t="s">
        <v>1489</v>
      </c>
      <c r="D4567" s="36" t="s">
        <v>105</v>
      </c>
      <c r="E4567" s="37">
        <v>0.2</v>
      </c>
      <c r="F4567" s="54">
        <v>0</v>
      </c>
      <c r="G4567" s="54">
        <f t="shared" si="79"/>
        <v>0</v>
      </c>
      <c r="H4567" s="73"/>
      <c r="I4567" s="74"/>
      <c r="J4567" s="156">
        <v>0</v>
      </c>
    </row>
    <row r="4568" spans="1:10" ht="15.75" hidden="1" thickBot="1" x14ac:dyDescent="0.3">
      <c r="A4568" s="227"/>
      <c r="B4568" s="225"/>
      <c r="C4568" s="36"/>
      <c r="D4568" s="36"/>
      <c r="E4568" s="37"/>
      <c r="F4568" s="54" t="s">
        <v>572</v>
      </c>
      <c r="G4568" s="54" t="str">
        <f t="shared" si="79"/>
        <v/>
      </c>
      <c r="H4568" s="73"/>
      <c r="I4568" s="74"/>
      <c r="J4568" s="156">
        <v>0</v>
      </c>
    </row>
    <row r="4569" spans="1:10" ht="15.75" hidden="1" thickBot="1" x14ac:dyDescent="0.3">
      <c r="A4569" s="221" t="s">
        <v>1490</v>
      </c>
      <c r="B4569" s="224" t="str">
        <f>INDEX(Orçamentária!A:B,MATCH(Composições!A4569,Orçamentária!A:A,0),2)</f>
        <v>Impermeabilização com membrana acrílica</v>
      </c>
      <c r="C4569" s="41"/>
      <c r="D4569" s="26" t="str">
        <f>TRIM(INDEX(Orçamentária!C:C,MATCH(Composições!A4569,Orçamentária!A:A,0),1))</f>
        <v>m2</v>
      </c>
      <c r="E4569" s="27"/>
      <c r="F4569" s="49" t="s">
        <v>572</v>
      </c>
      <c r="G4569" s="28" t="str">
        <f t="shared" si="79"/>
        <v/>
      </c>
      <c r="H4569" s="29"/>
      <c r="I4569" s="30"/>
      <c r="J4569" s="156">
        <v>0</v>
      </c>
    </row>
    <row r="4570" spans="1:10" ht="15.75" hidden="1" thickBot="1" x14ac:dyDescent="0.3">
      <c r="A4570" s="227"/>
      <c r="B4570" s="225"/>
      <c r="C4570" s="32"/>
      <c r="D4570" s="32"/>
      <c r="E4570" s="33"/>
      <c r="F4570" s="54" t="s">
        <v>572</v>
      </c>
      <c r="G4570" s="54" t="str">
        <f t="shared" si="79"/>
        <v/>
      </c>
      <c r="H4570" s="73"/>
      <c r="I4570" s="74"/>
      <c r="J4570" s="156">
        <v>0</v>
      </c>
    </row>
    <row r="4571" spans="1:10" ht="15.75" hidden="1" thickBot="1" x14ac:dyDescent="0.3">
      <c r="A4571" s="227"/>
      <c r="B4571" s="225"/>
      <c r="C4571" s="36" t="s">
        <v>1491</v>
      </c>
      <c r="D4571" s="36" t="s">
        <v>957</v>
      </c>
      <c r="E4571" s="37">
        <v>1.2</v>
      </c>
      <c r="F4571" s="54">
        <v>18.819499999999998</v>
      </c>
      <c r="G4571" s="54">
        <f t="shared" si="79"/>
        <v>22.583399999999997</v>
      </c>
      <c r="H4571" s="39">
        <f>SUM(G4571:G4573)</f>
        <v>37.616323499999993</v>
      </c>
      <c r="I4571" s="40"/>
      <c r="J4571" s="156">
        <v>0</v>
      </c>
    </row>
    <row r="4572" spans="1:10" ht="15.75" hidden="1" thickBot="1" x14ac:dyDescent="0.3">
      <c r="A4572" s="227"/>
      <c r="B4572" s="225"/>
      <c r="C4572" s="36" t="s">
        <v>1474</v>
      </c>
      <c r="D4572" s="36" t="s">
        <v>759</v>
      </c>
      <c r="E4572" s="37">
        <v>0.11700000000000001</v>
      </c>
      <c r="F4572" s="54">
        <v>19.3705</v>
      </c>
      <c r="G4572" s="54">
        <f t="shared" si="79"/>
        <v>2.2663485000000003</v>
      </c>
      <c r="H4572" s="73"/>
      <c r="I4572" s="74"/>
      <c r="J4572" s="156">
        <v>0</v>
      </c>
    </row>
    <row r="4573" spans="1:10" ht="15.75" hidden="1" thickBot="1" x14ac:dyDescent="0.3">
      <c r="A4573" s="227"/>
      <c r="B4573" s="225"/>
      <c r="C4573" s="36" t="s">
        <v>1075</v>
      </c>
      <c r="D4573" s="36" t="s">
        <v>759</v>
      </c>
      <c r="E4573" s="37">
        <v>0.57799999999999996</v>
      </c>
      <c r="F4573" s="54">
        <v>22.087499999999999</v>
      </c>
      <c r="G4573" s="54">
        <f t="shared" si="79"/>
        <v>12.766574999999998</v>
      </c>
      <c r="H4573" s="73"/>
      <c r="I4573" s="74"/>
      <c r="J4573" s="156">
        <v>0</v>
      </c>
    </row>
    <row r="4574" spans="1:10" ht="15.75" hidden="1" thickBot="1" x14ac:dyDescent="0.3">
      <c r="A4574" s="227"/>
      <c r="B4574" s="225"/>
      <c r="C4574" s="36"/>
      <c r="D4574" s="36"/>
      <c r="E4574" s="37"/>
      <c r="F4574" s="54" t="s">
        <v>572</v>
      </c>
      <c r="G4574" s="54" t="str">
        <f t="shared" si="79"/>
        <v/>
      </c>
      <c r="H4574" s="73"/>
      <c r="I4574" s="74"/>
      <c r="J4574" s="156">
        <v>0</v>
      </c>
    </row>
    <row r="4575" spans="1:10" ht="15.75" hidden="1" thickBot="1" x14ac:dyDescent="0.3">
      <c r="A4575" s="221" t="s">
        <v>1492</v>
      </c>
      <c r="B4575" s="224" t="str">
        <f>INDEX(Orçamentária!A:B,MATCH(Composições!A4575,Orçamentária!A:A,0),2)</f>
        <v>Asfalto elastomérico para colagem de manta asfáltica</v>
      </c>
      <c r="C4575" s="41"/>
      <c r="D4575" s="26" t="str">
        <f>TRIM(INDEX(Orçamentária!C:C,MATCH(Composições!A4575,Orçamentária!A:A,0),1))</f>
        <v>m2</v>
      </c>
      <c r="E4575" s="27"/>
      <c r="F4575" s="49" t="s">
        <v>572</v>
      </c>
      <c r="G4575" s="28" t="str">
        <f t="shared" si="79"/>
        <v/>
      </c>
      <c r="H4575" s="29"/>
      <c r="I4575" s="30"/>
      <c r="J4575" s="156">
        <v>0</v>
      </c>
    </row>
    <row r="4576" spans="1:10" ht="15.75" hidden="1" thickBot="1" x14ac:dyDescent="0.3">
      <c r="A4576" s="227"/>
      <c r="B4576" s="225"/>
      <c r="C4576" s="32"/>
      <c r="D4576" s="32"/>
      <c r="E4576" s="33"/>
      <c r="F4576" s="54" t="s">
        <v>572</v>
      </c>
      <c r="G4576" s="54" t="str">
        <f t="shared" si="79"/>
        <v/>
      </c>
      <c r="H4576" s="73"/>
      <c r="I4576" s="74"/>
      <c r="J4576" s="156">
        <v>0</v>
      </c>
    </row>
    <row r="4577" spans="1:10" ht="15.75" hidden="1" thickBot="1" x14ac:dyDescent="0.3">
      <c r="A4577" s="227"/>
      <c r="B4577" s="225"/>
      <c r="C4577" s="36" t="s">
        <v>1493</v>
      </c>
      <c r="D4577" s="36" t="s">
        <v>957</v>
      </c>
      <c r="E4577" s="37">
        <v>3</v>
      </c>
      <c r="F4577" s="54" t="s">
        <v>572</v>
      </c>
      <c r="G4577" s="54" t="str">
        <f t="shared" si="79"/>
        <v/>
      </c>
      <c r="H4577" s="39">
        <f>SUM(G4577:G4578)</f>
        <v>4.4174999999999995</v>
      </c>
      <c r="I4577" s="40"/>
      <c r="J4577" s="156">
        <v>0</v>
      </c>
    </row>
    <row r="4578" spans="1:10" ht="15.75" hidden="1" thickBot="1" x14ac:dyDescent="0.3">
      <c r="A4578" s="227"/>
      <c r="B4578" s="225"/>
      <c r="C4578" s="36" t="s">
        <v>1075</v>
      </c>
      <c r="D4578" s="36" t="s">
        <v>759</v>
      </c>
      <c r="E4578" s="37">
        <v>0.2</v>
      </c>
      <c r="F4578" s="54">
        <v>22.087499999999999</v>
      </c>
      <c r="G4578" s="54">
        <f t="shared" si="79"/>
        <v>4.4174999999999995</v>
      </c>
      <c r="H4578" s="73"/>
      <c r="I4578" s="74"/>
      <c r="J4578" s="156">
        <v>0</v>
      </c>
    </row>
    <row r="4579" spans="1:10" ht="15.75" hidden="1" thickBot="1" x14ac:dyDescent="0.3">
      <c r="A4579" s="227"/>
      <c r="B4579" s="225"/>
      <c r="C4579" s="36"/>
      <c r="D4579" s="36"/>
      <c r="E4579" s="37"/>
      <c r="F4579" s="54" t="s">
        <v>572</v>
      </c>
      <c r="G4579" s="54" t="str">
        <f t="shared" si="79"/>
        <v/>
      </c>
      <c r="H4579" s="73"/>
      <c r="I4579" s="74"/>
      <c r="J4579" s="156">
        <v>0</v>
      </c>
    </row>
    <row r="4580" spans="1:10" ht="26.25" hidden="1" thickBot="1" x14ac:dyDescent="0.3">
      <c r="A4580" s="227"/>
      <c r="B4580" s="225"/>
      <c r="C4580" s="48" t="s">
        <v>1494</v>
      </c>
      <c r="D4580" s="36"/>
      <c r="E4580" s="37"/>
      <c r="F4580" s="54" t="s">
        <v>572</v>
      </c>
      <c r="G4580" s="54" t="str">
        <f t="shared" si="79"/>
        <v/>
      </c>
      <c r="H4580" s="73"/>
      <c r="I4580" s="74"/>
      <c r="J4580" s="156">
        <v>0</v>
      </c>
    </row>
    <row r="4581" spans="1:10" ht="25.5" hidden="1" thickBot="1" x14ac:dyDescent="0.3">
      <c r="A4581" s="227"/>
      <c r="B4581" s="225"/>
      <c r="C4581" s="155" t="s">
        <v>1495</v>
      </c>
      <c r="D4581" s="36"/>
      <c r="E4581" s="37"/>
      <c r="F4581" s="54" t="s">
        <v>572</v>
      </c>
      <c r="G4581" s="54" t="str">
        <f t="shared" si="79"/>
        <v/>
      </c>
      <c r="H4581" s="73"/>
      <c r="I4581" s="74"/>
      <c r="J4581" s="156">
        <v>0</v>
      </c>
    </row>
    <row r="4582" spans="1:10" ht="15.75" hidden="1" thickBot="1" x14ac:dyDescent="0.3">
      <c r="A4582" s="227"/>
      <c r="B4582" s="225"/>
      <c r="C4582" s="36"/>
      <c r="D4582" s="36"/>
      <c r="E4582" s="37"/>
      <c r="F4582" s="54" t="s">
        <v>572</v>
      </c>
      <c r="G4582" s="54" t="str">
        <f t="shared" si="79"/>
        <v/>
      </c>
      <c r="H4582" s="73"/>
      <c r="I4582" s="74"/>
      <c r="J4582" s="156">
        <v>0</v>
      </c>
    </row>
    <row r="4583" spans="1:10" ht="15.75" hidden="1" thickBot="1" x14ac:dyDescent="0.3">
      <c r="A4583" s="221" t="s">
        <v>1496</v>
      </c>
      <c r="B4583" s="224" t="str">
        <f>INDEX(Orçamentária!A:B,MATCH(Composições!A4583,Orçamentária!A:A,0),2)</f>
        <v>Impermeabilização com manta dupla (com maçarico)</v>
      </c>
      <c r="C4583" s="41"/>
      <c r="D4583" s="26" t="str">
        <f>TRIM(INDEX(Orçamentária!C:C,MATCH(Composições!A4583,Orçamentária!A:A,0),1))</f>
        <v>m2</v>
      </c>
      <c r="E4583" s="27"/>
      <c r="F4583" s="49" t="s">
        <v>572</v>
      </c>
      <c r="G4583" s="28" t="str">
        <f t="shared" si="79"/>
        <v/>
      </c>
      <c r="H4583" s="29"/>
      <c r="I4583" s="30"/>
      <c r="J4583" s="156">
        <v>0</v>
      </c>
    </row>
    <row r="4584" spans="1:10" ht="15.75" hidden="1" thickBot="1" x14ac:dyDescent="0.3">
      <c r="A4584" s="227"/>
      <c r="B4584" s="225"/>
      <c r="C4584" s="32"/>
      <c r="D4584" s="32"/>
      <c r="E4584" s="33"/>
      <c r="F4584" s="54" t="s">
        <v>572</v>
      </c>
      <c r="G4584" s="54" t="str">
        <f t="shared" ref="G4584:G4647" si="80">IF(ISNUMBER(F4584),E4584*F4584,"")</f>
        <v/>
      </c>
      <c r="H4584" s="73"/>
      <c r="I4584" s="74"/>
      <c r="J4584" s="156">
        <v>0</v>
      </c>
    </row>
    <row r="4585" spans="1:10" ht="26.25" hidden="1" thickBot="1" x14ac:dyDescent="0.3">
      <c r="A4585" s="227"/>
      <c r="B4585" s="225"/>
      <c r="C4585" s="36" t="s">
        <v>1473</v>
      </c>
      <c r="D4585" s="36" t="s">
        <v>105</v>
      </c>
      <c r="E4585" s="37">
        <v>0.61499999999999999</v>
      </c>
      <c r="F4585" s="54">
        <v>13.8985</v>
      </c>
      <c r="G4585" s="54">
        <f t="shared" si="80"/>
        <v>8.5475775000000009</v>
      </c>
      <c r="H4585" s="39">
        <f>SUM(G4585:G4590)</f>
        <v>130.31712399999998</v>
      </c>
      <c r="I4585" s="40"/>
      <c r="J4585" s="156">
        <v>0</v>
      </c>
    </row>
    <row r="4586" spans="1:10" ht="26.25" hidden="1" thickBot="1" x14ac:dyDescent="0.3">
      <c r="A4586" s="227"/>
      <c r="B4586" s="225"/>
      <c r="C4586" s="36" t="s">
        <v>1497</v>
      </c>
      <c r="D4586" s="36" t="s">
        <v>1053</v>
      </c>
      <c r="E4586" s="37">
        <v>1.125</v>
      </c>
      <c r="F4586" s="54">
        <v>33.097999999999999</v>
      </c>
      <c r="G4586" s="54">
        <f t="shared" si="80"/>
        <v>37.235250000000001</v>
      </c>
      <c r="H4586" s="73"/>
      <c r="I4586" s="74"/>
      <c r="J4586" s="156">
        <v>0</v>
      </c>
    </row>
    <row r="4587" spans="1:10" ht="26.25" hidden="1" thickBot="1" x14ac:dyDescent="0.3">
      <c r="A4587" s="227"/>
      <c r="B4587" s="225"/>
      <c r="C4587" s="36" t="s">
        <v>1480</v>
      </c>
      <c r="D4587" s="36" t="s">
        <v>1053</v>
      </c>
      <c r="E4587" s="37">
        <v>1.125</v>
      </c>
      <c r="F4587" s="54">
        <v>40.640999999999998</v>
      </c>
      <c r="G4587" s="54">
        <f t="shared" si="80"/>
        <v>45.721125000000001</v>
      </c>
      <c r="H4587" s="73"/>
      <c r="I4587" s="74"/>
      <c r="J4587" s="156">
        <v>0</v>
      </c>
    </row>
    <row r="4588" spans="1:10" ht="15.75" hidden="1" thickBot="1" x14ac:dyDescent="0.3">
      <c r="A4588" s="227"/>
      <c r="B4588" s="225"/>
      <c r="C4588" s="36" t="s">
        <v>1481</v>
      </c>
      <c r="D4588" s="36" t="s">
        <v>957</v>
      </c>
      <c r="E4588" s="37">
        <v>0.52</v>
      </c>
      <c r="F4588" s="54">
        <v>5.8805000000000005</v>
      </c>
      <c r="G4588" s="54">
        <f t="shared" si="80"/>
        <v>3.0578600000000002</v>
      </c>
      <c r="H4588" s="73"/>
      <c r="I4588" s="74"/>
      <c r="J4588" s="156">
        <v>0</v>
      </c>
    </row>
    <row r="4589" spans="1:10" ht="15.75" hidden="1" thickBot="1" x14ac:dyDescent="0.3">
      <c r="A4589" s="227"/>
      <c r="B4589" s="225"/>
      <c r="C4589" s="36" t="s">
        <v>1474</v>
      </c>
      <c r="D4589" s="36" t="s">
        <v>759</v>
      </c>
      <c r="E4589" s="37">
        <v>0.27800000000000002</v>
      </c>
      <c r="F4589" s="54">
        <v>19.3705</v>
      </c>
      <c r="G4589" s="54">
        <f t="shared" si="80"/>
        <v>5.3849990000000005</v>
      </c>
      <c r="H4589" s="73"/>
      <c r="I4589" s="74"/>
      <c r="J4589" s="156">
        <v>0</v>
      </c>
    </row>
    <row r="4590" spans="1:10" ht="15.75" hidden="1" thickBot="1" x14ac:dyDescent="0.3">
      <c r="A4590" s="227"/>
      <c r="B4590" s="225"/>
      <c r="C4590" s="36" t="s">
        <v>1075</v>
      </c>
      <c r="D4590" s="36" t="s">
        <v>759</v>
      </c>
      <c r="E4590" s="37">
        <v>1.375</v>
      </c>
      <c r="F4590" s="54">
        <v>22.087499999999999</v>
      </c>
      <c r="G4590" s="54">
        <f t="shared" si="80"/>
        <v>30.370312499999997</v>
      </c>
      <c r="H4590" s="73"/>
      <c r="I4590" s="74"/>
      <c r="J4590" s="156">
        <v>0</v>
      </c>
    </row>
    <row r="4591" spans="1:10" ht="15.75" hidden="1" thickBot="1" x14ac:dyDescent="0.3">
      <c r="A4591" s="227"/>
      <c r="B4591" s="225"/>
      <c r="C4591" s="36"/>
      <c r="D4591" s="36"/>
      <c r="E4591" s="37"/>
      <c r="F4591" s="54" t="s">
        <v>572</v>
      </c>
      <c r="G4591" s="54" t="str">
        <f t="shared" si="80"/>
        <v/>
      </c>
      <c r="H4591" s="73"/>
      <c r="I4591" s="74"/>
      <c r="J4591" s="156">
        <v>0</v>
      </c>
    </row>
    <row r="4592" spans="1:10" ht="15.75" hidden="1" thickBot="1" x14ac:dyDescent="0.3">
      <c r="A4592" s="221" t="s">
        <v>1498</v>
      </c>
      <c r="B4592" s="224" t="str">
        <f>INDEX(Orçamentária!A:B,MATCH(Composições!A4592,Orçamentária!A:A,0),2)</f>
        <v>Impermeabilização com manta dupla (com asfalto elastomérico)</v>
      </c>
      <c r="C4592" s="41"/>
      <c r="D4592" s="26" t="str">
        <f>TRIM(INDEX(Orçamentária!C:C,MATCH(Composições!A4592,Orçamentária!A:A,0),1))</f>
        <v>m2</v>
      </c>
      <c r="E4592" s="27"/>
      <c r="F4592" s="49" t="s">
        <v>572</v>
      </c>
      <c r="G4592" s="28" t="str">
        <f t="shared" si="80"/>
        <v/>
      </c>
      <c r="H4592" s="29"/>
      <c r="I4592" s="30"/>
      <c r="J4592" s="156">
        <v>0</v>
      </c>
    </row>
    <row r="4593" spans="1:10" ht="15.75" hidden="1" thickBot="1" x14ac:dyDescent="0.3">
      <c r="A4593" s="227"/>
      <c r="B4593" s="225"/>
      <c r="C4593" s="32"/>
      <c r="D4593" s="32"/>
      <c r="E4593" s="33"/>
      <c r="F4593" s="54" t="s">
        <v>572</v>
      </c>
      <c r="G4593" s="54" t="str">
        <f t="shared" si="80"/>
        <v/>
      </c>
      <c r="H4593" s="73"/>
      <c r="I4593" s="74"/>
      <c r="J4593" s="156">
        <v>0</v>
      </c>
    </row>
    <row r="4594" spans="1:10" ht="26.25" hidden="1" thickBot="1" x14ac:dyDescent="0.3">
      <c r="A4594" s="227"/>
      <c r="B4594" s="225"/>
      <c r="C4594" s="36" t="s">
        <v>1473</v>
      </c>
      <c r="D4594" s="36" t="s">
        <v>105</v>
      </c>
      <c r="E4594" s="37">
        <v>0.61499999999999999</v>
      </c>
      <c r="F4594" s="54">
        <v>13.8985</v>
      </c>
      <c r="G4594" s="54">
        <f t="shared" si="80"/>
        <v>8.5475775000000009</v>
      </c>
      <c r="H4594" s="39">
        <f>SUM(G4594:G4599)</f>
        <v>132.644263</v>
      </c>
      <c r="I4594" s="40"/>
      <c r="J4594" s="156">
        <v>0</v>
      </c>
    </row>
    <row r="4595" spans="1:10" ht="26.25" hidden="1" thickBot="1" x14ac:dyDescent="0.3">
      <c r="A4595" s="227"/>
      <c r="B4595" s="225"/>
      <c r="C4595" s="36" t="s">
        <v>1497</v>
      </c>
      <c r="D4595" s="36" t="s">
        <v>1053</v>
      </c>
      <c r="E4595" s="37">
        <v>1.125</v>
      </c>
      <c r="F4595" s="54">
        <v>33.097999999999999</v>
      </c>
      <c r="G4595" s="54">
        <f t="shared" si="80"/>
        <v>37.235250000000001</v>
      </c>
      <c r="H4595" s="73"/>
      <c r="I4595" s="74"/>
      <c r="J4595" s="156">
        <v>0</v>
      </c>
    </row>
    <row r="4596" spans="1:10" ht="26.25" hidden="1" thickBot="1" x14ac:dyDescent="0.3">
      <c r="A4596" s="227"/>
      <c r="B4596" s="225"/>
      <c r="C4596" s="36" t="s">
        <v>1480</v>
      </c>
      <c r="D4596" s="36" t="s">
        <v>1053</v>
      </c>
      <c r="E4596" s="37">
        <v>1.125</v>
      </c>
      <c r="F4596" s="54">
        <v>40.640999999999998</v>
      </c>
      <c r="G4596" s="54">
        <f t="shared" si="80"/>
        <v>45.721125000000001</v>
      </c>
      <c r="H4596" s="73"/>
      <c r="I4596" s="74"/>
      <c r="J4596" s="156">
        <v>0</v>
      </c>
    </row>
    <row r="4597" spans="1:10" ht="15.75" hidden="1" thickBot="1" x14ac:dyDescent="0.3">
      <c r="A4597" s="227"/>
      <c r="B4597" s="225"/>
      <c r="C4597" s="36" t="s">
        <v>1493</v>
      </c>
      <c r="D4597" s="36" t="s">
        <v>957</v>
      </c>
      <c r="E4597" s="37">
        <v>2</v>
      </c>
      <c r="F4597" s="54" t="s">
        <v>572</v>
      </c>
      <c r="G4597" s="54" t="str">
        <f t="shared" si="80"/>
        <v/>
      </c>
      <c r="H4597" s="73"/>
      <c r="I4597" s="74"/>
      <c r="J4597" s="156">
        <v>0</v>
      </c>
    </row>
    <row r="4598" spans="1:10" ht="15.75" hidden="1" thickBot="1" x14ac:dyDescent="0.3">
      <c r="A4598" s="227"/>
      <c r="B4598" s="225"/>
      <c r="C4598" s="36" t="s">
        <v>1474</v>
      </c>
      <c r="D4598" s="36" t="s">
        <v>759</v>
      </c>
      <c r="E4598" s="37">
        <f>0.278*2</f>
        <v>0.55600000000000005</v>
      </c>
      <c r="F4598" s="54">
        <v>19.3705</v>
      </c>
      <c r="G4598" s="54">
        <f t="shared" si="80"/>
        <v>10.769998000000001</v>
      </c>
      <c r="H4598" s="73"/>
      <c r="I4598" s="74"/>
      <c r="J4598" s="156">
        <v>0</v>
      </c>
    </row>
    <row r="4599" spans="1:10" ht="15.75" hidden="1" thickBot="1" x14ac:dyDescent="0.3">
      <c r="A4599" s="227"/>
      <c r="B4599" s="225"/>
      <c r="C4599" s="36" t="s">
        <v>1075</v>
      </c>
      <c r="D4599" s="36" t="s">
        <v>759</v>
      </c>
      <c r="E4599" s="37">
        <v>1.375</v>
      </c>
      <c r="F4599" s="54">
        <v>22.087499999999999</v>
      </c>
      <c r="G4599" s="54">
        <f t="shared" si="80"/>
        <v>30.370312499999997</v>
      </c>
      <c r="H4599" s="73"/>
      <c r="I4599" s="74"/>
      <c r="J4599" s="156">
        <v>0</v>
      </c>
    </row>
    <row r="4600" spans="1:10" ht="15.75" hidden="1" thickBot="1" x14ac:dyDescent="0.3">
      <c r="A4600" s="227"/>
      <c r="B4600" s="225"/>
      <c r="C4600" s="36"/>
      <c r="D4600" s="36"/>
      <c r="E4600" s="37"/>
      <c r="F4600" s="54" t="s">
        <v>572</v>
      </c>
      <c r="G4600" s="54" t="str">
        <f t="shared" si="80"/>
        <v/>
      </c>
      <c r="H4600" s="73"/>
      <c r="I4600" s="74"/>
      <c r="J4600" s="156">
        <v>0</v>
      </c>
    </row>
    <row r="4601" spans="1:10" ht="26.25" hidden="1" thickBot="1" x14ac:dyDescent="0.3">
      <c r="A4601" s="227"/>
      <c r="B4601" s="225"/>
      <c r="C4601" s="48" t="s">
        <v>1494</v>
      </c>
      <c r="D4601" s="36"/>
      <c r="E4601" s="37"/>
      <c r="F4601" s="54" t="s">
        <v>572</v>
      </c>
      <c r="G4601" s="54" t="str">
        <f t="shared" si="80"/>
        <v/>
      </c>
      <c r="H4601" s="73"/>
      <c r="I4601" s="74"/>
      <c r="J4601" s="156">
        <v>0</v>
      </c>
    </row>
    <row r="4602" spans="1:10" ht="25.5" hidden="1" thickBot="1" x14ac:dyDescent="0.3">
      <c r="A4602" s="227"/>
      <c r="B4602" s="225"/>
      <c r="C4602" s="155" t="s">
        <v>1495</v>
      </c>
      <c r="D4602" s="36"/>
      <c r="E4602" s="37"/>
      <c r="F4602" s="54" t="s">
        <v>572</v>
      </c>
      <c r="G4602" s="54" t="str">
        <f t="shared" si="80"/>
        <v/>
      </c>
      <c r="H4602" s="73"/>
      <c r="I4602" s="74"/>
      <c r="J4602" s="156">
        <v>0</v>
      </c>
    </row>
    <row r="4603" spans="1:10" ht="15.75" hidden="1" thickBot="1" x14ac:dyDescent="0.3">
      <c r="A4603" s="227"/>
      <c r="B4603" s="225"/>
      <c r="C4603" s="36"/>
      <c r="D4603" s="36"/>
      <c r="E4603" s="37"/>
      <c r="F4603" s="54" t="s">
        <v>572</v>
      </c>
      <c r="G4603" s="54" t="str">
        <f t="shared" si="80"/>
        <v/>
      </c>
      <c r="H4603" s="73"/>
      <c r="I4603" s="74"/>
      <c r="J4603" s="156">
        <v>0</v>
      </c>
    </row>
    <row r="4604" spans="1:10" ht="15.75" hidden="1" thickBot="1" x14ac:dyDescent="0.3">
      <c r="A4604" s="221" t="s">
        <v>1499</v>
      </c>
      <c r="B4604" s="224" t="str">
        <f>INDEX(Orçamentária!A:B,MATCH(Composições!A4604,Orçamentária!A:A,0),2)</f>
        <v>Aditivo Incorporador de Ar</v>
      </c>
      <c r="C4604" s="41"/>
      <c r="D4604" s="26" t="str">
        <f>TRIM(INDEX(Orçamentária!C:C,MATCH(Composições!A4604,Orçamentária!A:A,0),1))</f>
        <v>kg</v>
      </c>
      <c r="E4604" s="27"/>
      <c r="F4604" s="49" t="s">
        <v>572</v>
      </c>
      <c r="G4604" s="28" t="str">
        <f t="shared" si="80"/>
        <v/>
      </c>
      <c r="H4604" s="29"/>
      <c r="I4604" s="30"/>
      <c r="J4604" s="156">
        <v>0</v>
      </c>
    </row>
    <row r="4605" spans="1:10" ht="15.75" hidden="1" thickBot="1" x14ac:dyDescent="0.3">
      <c r="A4605" s="227"/>
      <c r="B4605" s="225"/>
      <c r="C4605" s="32"/>
      <c r="D4605" s="32"/>
      <c r="E4605" s="33"/>
      <c r="F4605" s="54" t="s">
        <v>572</v>
      </c>
      <c r="G4605" s="54" t="str">
        <f t="shared" si="80"/>
        <v/>
      </c>
      <c r="H4605" s="73"/>
      <c r="I4605" s="74"/>
      <c r="J4605" s="156">
        <v>0</v>
      </c>
    </row>
    <row r="4606" spans="1:10" ht="26.25" hidden="1" thickBot="1" x14ac:dyDescent="0.3">
      <c r="A4606" s="227"/>
      <c r="B4606" s="225"/>
      <c r="C4606" s="36" t="s">
        <v>1500</v>
      </c>
      <c r="D4606" s="36" t="s">
        <v>105</v>
      </c>
      <c r="E4606" s="37">
        <v>1.01</v>
      </c>
      <c r="F4606" s="54">
        <v>5.794999999999999</v>
      </c>
      <c r="G4606" s="54">
        <f t="shared" si="80"/>
        <v>5.852949999999999</v>
      </c>
      <c r="H4606" s="39">
        <f>SUM(G4606:G4606)</f>
        <v>5.852949999999999</v>
      </c>
      <c r="I4606" s="40"/>
      <c r="J4606" s="156">
        <v>0</v>
      </c>
    </row>
    <row r="4607" spans="1:10" ht="15.75" hidden="1" thickBot="1" x14ac:dyDescent="0.3">
      <c r="A4607" s="227"/>
      <c r="B4607" s="225"/>
      <c r="C4607" s="36"/>
      <c r="D4607" s="36"/>
      <c r="E4607" s="37"/>
      <c r="F4607" s="54" t="s">
        <v>572</v>
      </c>
      <c r="G4607" s="54" t="str">
        <f t="shared" si="80"/>
        <v/>
      </c>
      <c r="H4607" s="73"/>
      <c r="I4607" s="74"/>
      <c r="J4607" s="156">
        <v>0</v>
      </c>
    </row>
    <row r="4608" spans="1:10" ht="26.25" hidden="1" thickBot="1" x14ac:dyDescent="0.3">
      <c r="A4608" s="227"/>
      <c r="B4608" s="225"/>
      <c r="C4608" s="48" t="s">
        <v>1501</v>
      </c>
      <c r="D4608" s="36"/>
      <c r="E4608" s="37"/>
      <c r="F4608" s="54" t="s">
        <v>572</v>
      </c>
      <c r="G4608" s="54" t="str">
        <f t="shared" si="80"/>
        <v/>
      </c>
      <c r="H4608" s="73"/>
      <c r="I4608" s="74"/>
      <c r="J4608" s="156">
        <v>0</v>
      </c>
    </row>
    <row r="4609" spans="1:10" ht="15.75" hidden="1" thickBot="1" x14ac:dyDescent="0.3">
      <c r="A4609" s="227"/>
      <c r="B4609" s="225"/>
      <c r="C4609" s="55"/>
      <c r="D4609" s="55"/>
      <c r="E4609" s="66"/>
      <c r="F4609" s="76" t="s">
        <v>572</v>
      </c>
      <c r="G4609" s="76" t="str">
        <f t="shared" si="80"/>
        <v/>
      </c>
      <c r="H4609" s="77"/>
      <c r="I4609" s="74"/>
      <c r="J4609" s="156">
        <v>0</v>
      </c>
    </row>
    <row r="4610" spans="1:10" ht="15.75" hidden="1" thickBot="1" x14ac:dyDescent="0.3">
      <c r="A4610" s="221" t="s">
        <v>1502</v>
      </c>
      <c r="B4610" s="224" t="str">
        <f>INDEX(Orçamentária!A:B,MATCH(Composições!A4610,Orçamentária!A:A,0),2)</f>
        <v>Brita Nº 2</v>
      </c>
      <c r="C4610" s="41"/>
      <c r="D4610" s="26" t="str">
        <f>TRIM(INDEX(Orçamentária!C:C,MATCH(Composições!A4610,Orçamentária!A:A,0),1))</f>
        <v>m3</v>
      </c>
      <c r="E4610" s="27"/>
      <c r="F4610" s="49" t="s">
        <v>572</v>
      </c>
      <c r="G4610" s="28" t="str">
        <f t="shared" si="80"/>
        <v/>
      </c>
      <c r="H4610" s="29"/>
      <c r="I4610" s="30"/>
      <c r="J4610" s="156">
        <v>0</v>
      </c>
    </row>
    <row r="4611" spans="1:10" ht="15.75" hidden="1" thickBot="1" x14ac:dyDescent="0.3">
      <c r="A4611" s="227"/>
      <c r="B4611" s="225"/>
      <c r="C4611" s="32"/>
      <c r="D4611" s="32"/>
      <c r="E4611" s="33"/>
      <c r="F4611" s="54" t="s">
        <v>572</v>
      </c>
      <c r="G4611" s="54" t="str">
        <f t="shared" si="80"/>
        <v/>
      </c>
      <c r="H4611" s="73"/>
      <c r="I4611" s="74"/>
      <c r="J4611" s="156">
        <v>0</v>
      </c>
    </row>
    <row r="4612" spans="1:10" ht="26.25" hidden="1" thickBot="1" x14ac:dyDescent="0.3">
      <c r="A4612" s="227"/>
      <c r="B4612" s="225"/>
      <c r="C4612" s="36" t="s">
        <v>1161</v>
      </c>
      <c r="D4612" s="36" t="s">
        <v>112</v>
      </c>
      <c r="E4612" s="37">
        <v>1</v>
      </c>
      <c r="F4612" s="54">
        <v>118.256</v>
      </c>
      <c r="G4612" s="54">
        <f t="shared" si="80"/>
        <v>118.256</v>
      </c>
      <c r="H4612" s="39">
        <f>SUM(G4612:G4614)</f>
        <v>160.71234454999998</v>
      </c>
      <c r="I4612" s="40"/>
      <c r="J4612" s="156">
        <v>0</v>
      </c>
    </row>
    <row r="4613" spans="1:10" ht="51.75" hidden="1" thickBot="1" x14ac:dyDescent="0.3">
      <c r="A4613" s="227"/>
      <c r="B4613" s="225"/>
      <c r="C4613" s="36" t="s">
        <v>3619</v>
      </c>
      <c r="D4613" s="36" t="s">
        <v>112</v>
      </c>
      <c r="E4613" s="37">
        <f>1*E4612</f>
        <v>1</v>
      </c>
      <c r="F4613" s="34">
        <v>5.5686425499999999</v>
      </c>
      <c r="G4613" s="34">
        <f t="shared" si="80"/>
        <v>5.5686425499999999</v>
      </c>
      <c r="H4613" s="35"/>
      <c r="I4613" s="31"/>
      <c r="J4613" s="156">
        <v>0</v>
      </c>
    </row>
    <row r="4614" spans="1:10" ht="39" hidden="1" thickBot="1" x14ac:dyDescent="0.3">
      <c r="A4614" s="227"/>
      <c r="B4614" s="225"/>
      <c r="C4614" s="36" t="s">
        <v>125</v>
      </c>
      <c r="D4614" s="36" t="s">
        <v>126</v>
      </c>
      <c r="E4614" s="37">
        <f>E4612*20</f>
        <v>20</v>
      </c>
      <c r="F4614" s="54">
        <v>1.8443850999999998</v>
      </c>
      <c r="G4614" s="54">
        <f t="shared" si="80"/>
        <v>36.887701999999997</v>
      </c>
      <c r="H4614" s="73"/>
      <c r="I4614" s="74"/>
      <c r="J4614" s="156">
        <v>0</v>
      </c>
    </row>
    <row r="4615" spans="1:10" ht="15.75" hidden="1" thickBot="1" x14ac:dyDescent="0.3">
      <c r="A4615" s="227"/>
      <c r="B4615" s="225"/>
      <c r="C4615" s="36"/>
      <c r="D4615" s="36"/>
      <c r="E4615" s="37"/>
      <c r="F4615" s="54" t="s">
        <v>572</v>
      </c>
      <c r="G4615" s="54" t="str">
        <f t="shared" si="80"/>
        <v/>
      </c>
      <c r="H4615" s="73"/>
      <c r="I4615" s="74"/>
      <c r="J4615" s="156">
        <v>0</v>
      </c>
    </row>
    <row r="4616" spans="1:10" ht="15.75" hidden="1" thickBot="1" x14ac:dyDescent="0.3">
      <c r="A4616" s="227"/>
      <c r="B4616" s="225"/>
      <c r="C4616" s="48" t="s">
        <v>1503</v>
      </c>
      <c r="D4616" s="36"/>
      <c r="E4616" s="37"/>
      <c r="F4616" s="54" t="s">
        <v>572</v>
      </c>
      <c r="G4616" s="54" t="str">
        <f t="shared" si="80"/>
        <v/>
      </c>
      <c r="H4616" s="73"/>
      <c r="I4616" s="74"/>
      <c r="J4616" s="156">
        <v>0</v>
      </c>
    </row>
    <row r="4617" spans="1:10" ht="15.75" hidden="1" thickBot="1" x14ac:dyDescent="0.3">
      <c r="A4617" s="228"/>
      <c r="B4617" s="226"/>
      <c r="C4617" s="55"/>
      <c r="D4617" s="55"/>
      <c r="E4617" s="66"/>
      <c r="F4617" s="76" t="s">
        <v>572</v>
      </c>
      <c r="G4617" s="76" t="str">
        <f t="shared" si="80"/>
        <v/>
      </c>
      <c r="H4617" s="77"/>
      <c r="I4617" s="74"/>
      <c r="J4617" s="156">
        <v>0</v>
      </c>
    </row>
    <row r="4618" spans="1:10" ht="15.75" hidden="1" thickBot="1" x14ac:dyDescent="0.3">
      <c r="A4618" s="221" t="s">
        <v>1504</v>
      </c>
      <c r="B4618" s="224" t="str">
        <f>INDEX(Orçamentária!A:B,MATCH(Composições!A4618,Orçamentária!A:A,0),2)</f>
        <v>Carpete aveludado azul royal - fornecimento e instalação</v>
      </c>
      <c r="C4618" s="41"/>
      <c r="D4618" s="26" t="str">
        <f>TRIM(INDEX(Orçamentária!C:C,MATCH(Composições!A4618,Orçamentária!A:A,0),1))</f>
        <v>m2</v>
      </c>
      <c r="E4618" s="27"/>
      <c r="F4618" s="49" t="s">
        <v>572</v>
      </c>
      <c r="G4618" s="28" t="str">
        <f t="shared" si="80"/>
        <v/>
      </c>
      <c r="H4618" s="29"/>
      <c r="I4618" s="30"/>
      <c r="J4618" s="156">
        <v>0</v>
      </c>
    </row>
    <row r="4619" spans="1:10" ht="15.75" hidden="1" thickBot="1" x14ac:dyDescent="0.3">
      <c r="A4619" s="227"/>
      <c r="B4619" s="225"/>
      <c r="C4619" s="32"/>
      <c r="D4619" s="32"/>
      <c r="E4619" s="33"/>
      <c r="F4619" s="54" t="s">
        <v>572</v>
      </c>
      <c r="G4619" s="54" t="str">
        <f t="shared" si="80"/>
        <v/>
      </c>
      <c r="H4619" s="73"/>
      <c r="I4619" s="74"/>
      <c r="J4619" s="156">
        <v>0</v>
      </c>
    </row>
    <row r="4620" spans="1:10" ht="15.75" hidden="1" thickBot="1" x14ac:dyDescent="0.3">
      <c r="A4620" s="227"/>
      <c r="B4620" s="225"/>
      <c r="C4620" s="36" t="s">
        <v>768</v>
      </c>
      <c r="D4620" s="36" t="s">
        <v>759</v>
      </c>
      <c r="E4620" s="37">
        <v>0.1</v>
      </c>
      <c r="F4620" s="54">
        <v>22.087499999999999</v>
      </c>
      <c r="G4620" s="54">
        <f t="shared" si="80"/>
        <v>2.2087499999999998</v>
      </c>
      <c r="H4620" s="39">
        <f>SUM(G4620:G4627)</f>
        <v>12.232200000000001</v>
      </c>
      <c r="I4620" s="40"/>
      <c r="J4620" s="156">
        <v>0</v>
      </c>
    </row>
    <row r="4621" spans="1:10" ht="15.75" hidden="1" thickBot="1" x14ac:dyDescent="0.3">
      <c r="A4621" s="227"/>
      <c r="B4621" s="225"/>
      <c r="C4621" s="36" t="s">
        <v>760</v>
      </c>
      <c r="D4621" s="36" t="s">
        <v>759</v>
      </c>
      <c r="E4621" s="37">
        <v>0.1</v>
      </c>
      <c r="F4621" s="54">
        <v>16.311500000000002</v>
      </c>
      <c r="G4621" s="54">
        <f t="shared" si="80"/>
        <v>1.6311500000000003</v>
      </c>
      <c r="H4621" s="73"/>
      <c r="I4621" s="74"/>
      <c r="J4621" s="156">
        <v>0</v>
      </c>
    </row>
    <row r="4622" spans="1:10" ht="15.75" hidden="1" thickBot="1" x14ac:dyDescent="0.3">
      <c r="A4622" s="227"/>
      <c r="B4622" s="225"/>
      <c r="C4622" s="36" t="s">
        <v>1505</v>
      </c>
      <c r="D4622" s="36" t="s">
        <v>957</v>
      </c>
      <c r="E4622" s="37">
        <v>0.1</v>
      </c>
      <c r="F4622" s="54" t="s">
        <v>572</v>
      </c>
      <c r="G4622" s="54" t="str">
        <f t="shared" si="80"/>
        <v/>
      </c>
      <c r="H4622" s="73"/>
      <c r="I4622" s="74"/>
      <c r="J4622" s="156">
        <v>0</v>
      </c>
    </row>
    <row r="4623" spans="1:10" ht="26.25" hidden="1" thickBot="1" x14ac:dyDescent="0.3">
      <c r="A4623" s="227"/>
      <c r="B4623" s="225"/>
      <c r="C4623" s="36" t="s">
        <v>1507</v>
      </c>
      <c r="D4623" s="36" t="s">
        <v>96</v>
      </c>
      <c r="E4623" s="37">
        <v>1.1000000000000001</v>
      </c>
      <c r="F4623" s="54" t="s">
        <v>572</v>
      </c>
      <c r="G4623" s="54" t="str">
        <f t="shared" si="80"/>
        <v/>
      </c>
      <c r="H4623" s="73"/>
      <c r="I4623" s="74"/>
      <c r="J4623" s="156">
        <v>0</v>
      </c>
    </row>
    <row r="4624" spans="1:10" ht="15.75" hidden="1" thickBot="1" x14ac:dyDescent="0.3">
      <c r="A4624" s="227"/>
      <c r="B4624" s="225"/>
      <c r="C4624" s="36" t="s">
        <v>768</v>
      </c>
      <c r="D4624" s="36" t="s">
        <v>759</v>
      </c>
      <c r="E4624" s="37">
        <v>0.2</v>
      </c>
      <c r="F4624" s="54">
        <v>22.087499999999999</v>
      </c>
      <c r="G4624" s="54">
        <f t="shared" si="80"/>
        <v>4.4174999999999995</v>
      </c>
      <c r="H4624" s="73"/>
      <c r="I4624" s="40"/>
      <c r="J4624" s="156">
        <v>0</v>
      </c>
    </row>
    <row r="4625" spans="1:10" ht="15.75" hidden="1" thickBot="1" x14ac:dyDescent="0.3">
      <c r="A4625" s="227"/>
      <c r="B4625" s="225"/>
      <c r="C4625" s="36" t="s">
        <v>760</v>
      </c>
      <c r="D4625" s="36" t="s">
        <v>759</v>
      </c>
      <c r="E4625" s="37">
        <v>0.2</v>
      </c>
      <c r="F4625" s="54">
        <v>16.311500000000002</v>
      </c>
      <c r="G4625" s="54">
        <f t="shared" si="80"/>
        <v>3.2623000000000006</v>
      </c>
      <c r="H4625" s="73"/>
      <c r="I4625" s="74"/>
      <c r="J4625" s="156">
        <v>0</v>
      </c>
    </row>
    <row r="4626" spans="1:10" ht="15.75" hidden="1" thickBot="1" x14ac:dyDescent="0.3">
      <c r="A4626" s="227"/>
      <c r="B4626" s="225"/>
      <c r="C4626" s="36" t="s">
        <v>805</v>
      </c>
      <c r="D4626" s="36" t="s">
        <v>957</v>
      </c>
      <c r="E4626" s="37">
        <v>1.5</v>
      </c>
      <c r="F4626" s="54">
        <v>0.47499999999999998</v>
      </c>
      <c r="G4626" s="54">
        <f t="shared" si="80"/>
        <v>0.71249999999999991</v>
      </c>
      <c r="H4626" s="73"/>
      <c r="I4626" s="74"/>
      <c r="J4626" s="156">
        <v>0</v>
      </c>
    </row>
    <row r="4627" spans="1:10" ht="15.75" hidden="1" thickBot="1" x14ac:dyDescent="0.3">
      <c r="A4627" s="227"/>
      <c r="B4627" s="225"/>
      <c r="C4627" s="36" t="s">
        <v>1506</v>
      </c>
      <c r="D4627" s="36" t="s">
        <v>957</v>
      </c>
      <c r="E4627" s="37">
        <f>ROUND(E4626*0.1,2)</f>
        <v>0.15</v>
      </c>
      <c r="F4627" s="54" t="s">
        <v>572</v>
      </c>
      <c r="G4627" s="54" t="str">
        <f t="shared" si="80"/>
        <v/>
      </c>
      <c r="H4627" s="73"/>
      <c r="I4627" s="74"/>
      <c r="J4627" s="156">
        <v>0</v>
      </c>
    </row>
    <row r="4628" spans="1:10" ht="15.75" hidden="1" thickBot="1" x14ac:dyDescent="0.3">
      <c r="A4628" s="227"/>
      <c r="B4628" s="225"/>
      <c r="C4628" s="36"/>
      <c r="D4628" s="36"/>
      <c r="E4628" s="37"/>
      <c r="F4628" s="54" t="s">
        <v>572</v>
      </c>
      <c r="G4628" s="54" t="str">
        <f t="shared" si="80"/>
        <v/>
      </c>
      <c r="H4628" s="73"/>
      <c r="I4628" s="74"/>
      <c r="J4628" s="156">
        <v>0</v>
      </c>
    </row>
    <row r="4629" spans="1:10" ht="15.75" hidden="1" thickBot="1" x14ac:dyDescent="0.3">
      <c r="A4629" s="221" t="s">
        <v>1508</v>
      </c>
      <c r="B4629" s="224" t="str">
        <f>INDEX(Orçamentária!A:B,MATCH(Composições!A4629,Orçamentária!A:A,0),2)</f>
        <v>Demolição de revestimento de piso têxtil (carpete)</v>
      </c>
      <c r="C4629" s="41"/>
      <c r="D4629" s="26" t="str">
        <f>TRIM(INDEX(Orçamentária!C:C,MATCH(Composições!A4629,Orçamentária!A:A,0),1))</f>
        <v>m2</v>
      </c>
      <c r="E4629" s="27"/>
      <c r="F4629" s="49" t="s">
        <v>572</v>
      </c>
      <c r="G4629" s="28" t="str">
        <f t="shared" si="80"/>
        <v/>
      </c>
      <c r="H4629" s="29"/>
      <c r="I4629" s="30"/>
      <c r="J4629" s="156">
        <v>0</v>
      </c>
    </row>
    <row r="4630" spans="1:10" ht="15.75" hidden="1" thickBot="1" x14ac:dyDescent="0.3">
      <c r="A4630" s="227"/>
      <c r="B4630" s="225"/>
      <c r="C4630" s="32"/>
      <c r="D4630" s="32"/>
      <c r="E4630" s="33"/>
      <c r="F4630" s="54" t="s">
        <v>572</v>
      </c>
      <c r="G4630" s="54" t="str">
        <f t="shared" si="80"/>
        <v/>
      </c>
      <c r="H4630" s="73"/>
      <c r="I4630" s="74"/>
      <c r="J4630" s="156">
        <v>0</v>
      </c>
    </row>
    <row r="4631" spans="1:10" ht="15.75" hidden="1" thickBot="1" x14ac:dyDescent="0.3">
      <c r="A4631" s="227"/>
      <c r="B4631" s="225"/>
      <c r="C4631" s="36" t="s">
        <v>768</v>
      </c>
      <c r="D4631" s="36" t="s">
        <v>759</v>
      </c>
      <c r="E4631" s="37">
        <v>0.01</v>
      </c>
      <c r="F4631" s="54">
        <v>22.087499999999999</v>
      </c>
      <c r="G4631" s="54">
        <f t="shared" si="80"/>
        <v>0.22087499999999999</v>
      </c>
      <c r="H4631" s="39">
        <f>SUM(G4631:G4632)</f>
        <v>1.8520250000000003</v>
      </c>
      <c r="I4631" s="40"/>
      <c r="J4631" s="156">
        <v>0</v>
      </c>
    </row>
    <row r="4632" spans="1:10" ht="15.75" hidden="1" thickBot="1" x14ac:dyDescent="0.3">
      <c r="A4632" s="227"/>
      <c r="B4632" s="225"/>
      <c r="C4632" s="36" t="s">
        <v>760</v>
      </c>
      <c r="D4632" s="36" t="s">
        <v>759</v>
      </c>
      <c r="E4632" s="37">
        <v>0.1</v>
      </c>
      <c r="F4632" s="54">
        <v>16.311500000000002</v>
      </c>
      <c r="G4632" s="54">
        <f t="shared" si="80"/>
        <v>1.6311500000000003</v>
      </c>
      <c r="H4632" s="73"/>
      <c r="I4632" s="74"/>
      <c r="J4632" s="156">
        <v>0</v>
      </c>
    </row>
    <row r="4633" spans="1:10" ht="15.75" hidden="1" thickBot="1" x14ac:dyDescent="0.3">
      <c r="A4633" s="228"/>
      <c r="B4633" s="226"/>
      <c r="C4633" s="55"/>
      <c r="D4633" s="55"/>
      <c r="E4633" s="66"/>
      <c r="F4633" s="76" t="s">
        <v>572</v>
      </c>
      <c r="G4633" s="76" t="str">
        <f t="shared" si="80"/>
        <v/>
      </c>
      <c r="H4633" s="77"/>
      <c r="I4633" s="74"/>
      <c r="J4633" s="156">
        <v>0</v>
      </c>
    </row>
    <row r="4634" spans="1:10" ht="15.75" hidden="1" thickBot="1" x14ac:dyDescent="0.3">
      <c r="A4634" s="221" t="s">
        <v>3491</v>
      </c>
      <c r="B4634" s="224" t="str">
        <f>INDEX(Orçamentária!A:B,MATCH(Composições!A4634,Orçamentária!A:A,0),2)</f>
        <v>Bancada em granito cinza andorinha polido - 2,40 m x 0,60 m</v>
      </c>
      <c r="C4634" s="41"/>
      <c r="D4634" s="26" t="str">
        <f>TRIM(INDEX(Orçamentária!C:C,MATCH(Composições!A4634,Orçamentária!A:A,0),1))</f>
        <v>un</v>
      </c>
      <c r="E4634" s="27"/>
      <c r="F4634" s="49" t="s">
        <v>572</v>
      </c>
      <c r="G4634" s="28" t="str">
        <f t="shared" si="80"/>
        <v/>
      </c>
      <c r="H4634" s="29"/>
      <c r="I4634" s="30"/>
      <c r="J4634" s="156">
        <v>0</v>
      </c>
    </row>
    <row r="4635" spans="1:10" ht="15.75" hidden="1" thickBot="1" x14ac:dyDescent="0.3">
      <c r="A4635" s="227"/>
      <c r="B4635" s="225"/>
      <c r="C4635" s="32"/>
      <c r="D4635" s="32"/>
      <c r="E4635" s="33"/>
      <c r="F4635" s="54" t="s">
        <v>572</v>
      </c>
      <c r="G4635" s="54" t="str">
        <f t="shared" si="80"/>
        <v/>
      </c>
      <c r="H4635" s="73"/>
      <c r="I4635" s="74"/>
      <c r="J4635" s="156">
        <v>0</v>
      </c>
    </row>
    <row r="4636" spans="1:10" ht="15.75" hidden="1" thickBot="1" x14ac:dyDescent="0.3">
      <c r="A4636" s="227"/>
      <c r="B4636" s="225"/>
      <c r="C4636" s="36" t="s">
        <v>3466</v>
      </c>
      <c r="D4636" s="36" t="s">
        <v>957</v>
      </c>
      <c r="E4636" s="37">
        <f>0.5228*2.4/1.5</f>
        <v>0.83648</v>
      </c>
      <c r="F4636" s="54">
        <v>26.685499999999998</v>
      </c>
      <c r="G4636" s="54">
        <f t="shared" si="80"/>
        <v>22.321887039999996</v>
      </c>
      <c r="H4636" s="39">
        <f>SUM(G4636:G4642)</f>
        <v>1049.7943661399995</v>
      </c>
      <c r="I4636" s="40"/>
      <c r="J4636" s="156">
        <v>0</v>
      </c>
    </row>
    <row r="4637" spans="1:10" ht="39" hidden="1" thickBot="1" x14ac:dyDescent="0.3">
      <c r="A4637" s="227"/>
      <c r="B4637" s="225"/>
      <c r="C4637" s="36" t="s">
        <v>1199</v>
      </c>
      <c r="D4637" s="36" t="s">
        <v>299</v>
      </c>
      <c r="E4637" s="37">
        <v>9</v>
      </c>
      <c r="F4637" s="54">
        <v>0.75049999999999994</v>
      </c>
      <c r="G4637" s="54">
        <f t="shared" si="80"/>
        <v>6.7544999999999993</v>
      </c>
      <c r="H4637" s="73"/>
      <c r="I4637" s="74"/>
      <c r="J4637" s="156">
        <v>0</v>
      </c>
    </row>
    <row r="4638" spans="1:10" ht="39" hidden="1" thickBot="1" x14ac:dyDescent="0.3">
      <c r="A4638" s="227"/>
      <c r="B4638" s="225"/>
      <c r="C4638" s="36" t="s">
        <v>3462</v>
      </c>
      <c r="D4638" s="36" t="s">
        <v>1053</v>
      </c>
      <c r="E4638" s="37">
        <f>1.005*2.4/1.5</f>
        <v>1.6079999999999997</v>
      </c>
      <c r="F4638" s="54">
        <v>567.84349999999995</v>
      </c>
      <c r="G4638" s="54">
        <f t="shared" si="80"/>
        <v>913.09234799999967</v>
      </c>
      <c r="H4638" s="73"/>
      <c r="I4638" s="74"/>
      <c r="J4638" s="156">
        <v>0</v>
      </c>
    </row>
    <row r="4639" spans="1:10" ht="15.75" hidden="1" thickBot="1" x14ac:dyDescent="0.3">
      <c r="A4639" s="227"/>
      <c r="B4639" s="225"/>
      <c r="C4639" s="36" t="s">
        <v>3610</v>
      </c>
      <c r="D4639" s="36" t="s">
        <v>957</v>
      </c>
      <c r="E4639" s="37">
        <f>0.0211*2.4/1.5</f>
        <v>3.3759999999999998E-2</v>
      </c>
      <c r="F4639" s="54">
        <v>52.8675</v>
      </c>
      <c r="G4639" s="54">
        <f t="shared" si="80"/>
        <v>1.7848067999999999</v>
      </c>
      <c r="H4639" s="73"/>
      <c r="I4639" s="74"/>
      <c r="J4639" s="156">
        <v>0</v>
      </c>
    </row>
    <row r="4640" spans="1:10" ht="26.25" hidden="1" thickBot="1" x14ac:dyDescent="0.3">
      <c r="A4640" s="227"/>
      <c r="B4640" s="225"/>
      <c r="C4640" s="36" t="s">
        <v>3474</v>
      </c>
      <c r="D4640" s="36" t="s">
        <v>299</v>
      </c>
      <c r="E4640" s="37">
        <v>3</v>
      </c>
      <c r="F4640" s="54">
        <v>20.7575</v>
      </c>
      <c r="G4640" s="54">
        <f t="shared" si="80"/>
        <v>62.272500000000001</v>
      </c>
      <c r="H4640" s="73"/>
      <c r="I4640" s="40"/>
      <c r="J4640" s="156">
        <v>0</v>
      </c>
    </row>
    <row r="4641" spans="1:10" ht="15.75" hidden="1" thickBot="1" x14ac:dyDescent="0.3">
      <c r="A4641" s="227"/>
      <c r="B4641" s="225"/>
      <c r="C4641" s="36" t="s">
        <v>3436</v>
      </c>
      <c r="D4641" s="36" t="s">
        <v>759</v>
      </c>
      <c r="E4641" s="37">
        <v>1.4944</v>
      </c>
      <c r="F4641" s="54">
        <v>18.420500000000001</v>
      </c>
      <c r="G4641" s="54">
        <f t="shared" si="80"/>
        <v>27.5275952</v>
      </c>
      <c r="H4641" s="73"/>
      <c r="I4641" s="74"/>
      <c r="J4641" s="156">
        <v>0</v>
      </c>
    </row>
    <row r="4642" spans="1:10" ht="15.75" hidden="1" thickBot="1" x14ac:dyDescent="0.3">
      <c r="A4642" s="227"/>
      <c r="B4642" s="225"/>
      <c r="C4642" s="36" t="s">
        <v>760</v>
      </c>
      <c r="D4642" s="36" t="s">
        <v>759</v>
      </c>
      <c r="E4642" s="37">
        <v>0.98340000000000005</v>
      </c>
      <c r="F4642" s="54">
        <v>16.311500000000002</v>
      </c>
      <c r="G4642" s="54">
        <f t="shared" si="80"/>
        <v>16.040729100000004</v>
      </c>
      <c r="H4642" s="73"/>
      <c r="I4642" s="74"/>
      <c r="J4642" s="156">
        <v>0</v>
      </c>
    </row>
    <row r="4643" spans="1:10" ht="15.75" hidden="1" thickBot="1" x14ac:dyDescent="0.3">
      <c r="A4643" s="227"/>
      <c r="B4643" s="225"/>
      <c r="C4643" s="36"/>
      <c r="D4643" s="36"/>
      <c r="E4643" s="37"/>
      <c r="F4643" s="54" t="s">
        <v>572</v>
      </c>
      <c r="G4643" s="54" t="str">
        <f t="shared" si="80"/>
        <v/>
      </c>
      <c r="H4643" s="73"/>
      <c r="I4643" s="74"/>
      <c r="J4643" s="156">
        <v>0</v>
      </c>
    </row>
    <row r="4644" spans="1:10" ht="15.75" hidden="1" thickBot="1" x14ac:dyDescent="0.3">
      <c r="A4644" s="221" t="s">
        <v>3492</v>
      </c>
      <c r="B4644" s="224" t="str">
        <f>INDEX(Orçamentária!A:B,MATCH(Composições!A4644,Orçamentária!A:A,0),2)</f>
        <v>Bancada em granito cinza andorinha polido - 2,50 m x 0,60 m</v>
      </c>
      <c r="C4644" s="41"/>
      <c r="D4644" s="26" t="str">
        <f>TRIM(INDEX(Orçamentária!C:C,MATCH(Composições!A4644,Orçamentária!A:A,0),1))</f>
        <v>un</v>
      </c>
      <c r="E4644" s="27"/>
      <c r="F4644" s="49" t="s">
        <v>572</v>
      </c>
      <c r="G4644" s="28" t="str">
        <f t="shared" si="80"/>
        <v/>
      </c>
      <c r="H4644" s="29"/>
      <c r="I4644" s="30"/>
      <c r="J4644" s="156">
        <v>0</v>
      </c>
    </row>
    <row r="4645" spans="1:10" ht="15.75" hidden="1" thickBot="1" x14ac:dyDescent="0.3">
      <c r="A4645" s="227"/>
      <c r="B4645" s="225"/>
      <c r="C4645" s="32"/>
      <c r="D4645" s="32"/>
      <c r="E4645" s="33"/>
      <c r="F4645" s="54" t="s">
        <v>572</v>
      </c>
      <c r="G4645" s="54" t="str">
        <f t="shared" si="80"/>
        <v/>
      </c>
      <c r="H4645" s="73"/>
      <c r="I4645" s="74"/>
      <c r="J4645" s="156">
        <v>0</v>
      </c>
    </row>
    <row r="4646" spans="1:10" ht="15.75" hidden="1" thickBot="1" x14ac:dyDescent="0.3">
      <c r="A4646" s="227"/>
      <c r="B4646" s="225"/>
      <c r="C4646" s="36" t="s">
        <v>3466</v>
      </c>
      <c r="D4646" s="36" t="s">
        <v>957</v>
      </c>
      <c r="E4646" s="37">
        <f>0.5228*2.5/1.5</f>
        <v>0.8713333333333334</v>
      </c>
      <c r="F4646" s="54">
        <v>26.685499999999998</v>
      </c>
      <c r="G4646" s="54">
        <f t="shared" si="80"/>
        <v>23.251965666666667</v>
      </c>
      <c r="H4646" s="39">
        <f>SUM(G4646:G4652)</f>
        <v>1088.8443262166663</v>
      </c>
      <c r="I4646" s="40"/>
      <c r="J4646" s="156">
        <v>0</v>
      </c>
    </row>
    <row r="4647" spans="1:10" ht="39" hidden="1" thickBot="1" x14ac:dyDescent="0.3">
      <c r="A4647" s="227"/>
      <c r="B4647" s="225"/>
      <c r="C4647" s="36" t="s">
        <v>1199</v>
      </c>
      <c r="D4647" s="36" t="s">
        <v>299</v>
      </c>
      <c r="E4647" s="37">
        <v>9</v>
      </c>
      <c r="F4647" s="54">
        <v>0.75049999999999994</v>
      </c>
      <c r="G4647" s="54">
        <f t="shared" si="80"/>
        <v>6.7544999999999993</v>
      </c>
      <c r="H4647" s="73"/>
      <c r="I4647" s="74"/>
      <c r="J4647" s="156">
        <v>0</v>
      </c>
    </row>
    <row r="4648" spans="1:10" ht="39" hidden="1" thickBot="1" x14ac:dyDescent="0.3">
      <c r="A4648" s="227"/>
      <c r="B4648" s="225"/>
      <c r="C4648" s="36" t="s">
        <v>3462</v>
      </c>
      <c r="D4648" s="36" t="s">
        <v>1053</v>
      </c>
      <c r="E4648" s="37">
        <f>1.005*2.5/1.5</f>
        <v>1.6749999999999998</v>
      </c>
      <c r="F4648" s="54">
        <v>567.84349999999995</v>
      </c>
      <c r="G4648" s="54">
        <f t="shared" ref="G4648:G4711" si="81">IF(ISNUMBER(F4648),E4648*F4648,"")</f>
        <v>951.13786249999987</v>
      </c>
      <c r="H4648" s="73"/>
      <c r="I4648" s="74"/>
      <c r="J4648" s="156">
        <v>0</v>
      </c>
    </row>
    <row r="4649" spans="1:10" ht="15.75" hidden="1" thickBot="1" x14ac:dyDescent="0.3">
      <c r="A4649" s="227"/>
      <c r="B4649" s="225"/>
      <c r="C4649" s="36" t="s">
        <v>3610</v>
      </c>
      <c r="D4649" s="36" t="s">
        <v>957</v>
      </c>
      <c r="E4649" s="37">
        <f>0.0211*2.5/1.5</f>
        <v>3.5166666666666672E-2</v>
      </c>
      <c r="F4649" s="54">
        <v>52.8675</v>
      </c>
      <c r="G4649" s="54">
        <f t="shared" si="81"/>
        <v>1.8591737500000003</v>
      </c>
      <c r="H4649" s="73"/>
      <c r="I4649" s="74"/>
      <c r="J4649" s="156">
        <v>0</v>
      </c>
    </row>
    <row r="4650" spans="1:10" ht="26.25" hidden="1" thickBot="1" x14ac:dyDescent="0.3">
      <c r="A4650" s="227"/>
      <c r="B4650" s="225"/>
      <c r="C4650" s="36" t="s">
        <v>3474</v>
      </c>
      <c r="D4650" s="36" t="s">
        <v>299</v>
      </c>
      <c r="E4650" s="37">
        <v>3</v>
      </c>
      <c r="F4650" s="54">
        <v>20.7575</v>
      </c>
      <c r="G4650" s="54">
        <f t="shared" si="81"/>
        <v>62.272500000000001</v>
      </c>
      <c r="H4650" s="73"/>
      <c r="I4650" s="40"/>
      <c r="J4650" s="156">
        <v>0</v>
      </c>
    </row>
    <row r="4651" spans="1:10" ht="15.75" hidden="1" thickBot="1" x14ac:dyDescent="0.3">
      <c r="A4651" s="227"/>
      <c r="B4651" s="225"/>
      <c r="C4651" s="36" t="s">
        <v>3436</v>
      </c>
      <c r="D4651" s="36" t="s">
        <v>759</v>
      </c>
      <c r="E4651" s="37">
        <v>1.4944</v>
      </c>
      <c r="F4651" s="54">
        <v>18.420500000000001</v>
      </c>
      <c r="G4651" s="54">
        <f t="shared" si="81"/>
        <v>27.5275952</v>
      </c>
      <c r="H4651" s="73"/>
      <c r="I4651" s="74"/>
      <c r="J4651" s="156">
        <v>0</v>
      </c>
    </row>
    <row r="4652" spans="1:10" ht="15.75" hidden="1" thickBot="1" x14ac:dyDescent="0.3">
      <c r="A4652" s="227"/>
      <c r="B4652" s="225"/>
      <c r="C4652" s="36" t="s">
        <v>760</v>
      </c>
      <c r="D4652" s="36" t="s">
        <v>759</v>
      </c>
      <c r="E4652" s="37">
        <v>0.98340000000000005</v>
      </c>
      <c r="F4652" s="54">
        <v>16.311500000000002</v>
      </c>
      <c r="G4652" s="54">
        <f t="shared" si="81"/>
        <v>16.040729100000004</v>
      </c>
      <c r="H4652" s="73"/>
      <c r="I4652" s="74"/>
      <c r="J4652" s="156">
        <v>0</v>
      </c>
    </row>
    <row r="4653" spans="1:10" ht="15.75" hidden="1" thickBot="1" x14ac:dyDescent="0.3">
      <c r="A4653" s="227"/>
      <c r="B4653" s="225"/>
      <c r="C4653" s="36"/>
      <c r="D4653" s="36"/>
      <c r="E4653" s="37"/>
      <c r="F4653" s="54" t="s">
        <v>572</v>
      </c>
      <c r="G4653" s="54" t="str">
        <f t="shared" si="81"/>
        <v/>
      </c>
      <c r="H4653" s="73"/>
      <c r="I4653" s="74"/>
      <c r="J4653" s="156">
        <v>0</v>
      </c>
    </row>
    <row r="4654" spans="1:10" ht="15.75" hidden="1" thickBot="1" x14ac:dyDescent="0.3">
      <c r="A4654" s="221" t="s">
        <v>3496</v>
      </c>
      <c r="B4654" s="224" t="str">
        <f>INDEX(Orçamentária!A:B,MATCH(Composições!A4654,Orçamentária!A:A,0),2)</f>
        <v>Batedor/limitador inferior para box de correr</v>
      </c>
      <c r="C4654" s="41"/>
      <c r="D4654" s="26" t="str">
        <f>TRIM(INDEX(Orçamentária!C:C,MATCH(Composições!A4654,Orçamentária!A:A,0),1))</f>
        <v>un</v>
      </c>
      <c r="E4654" s="27"/>
      <c r="F4654" s="42" t="s">
        <v>572</v>
      </c>
      <c r="G4654" s="28" t="str">
        <f t="shared" si="81"/>
        <v/>
      </c>
      <c r="H4654" s="29"/>
      <c r="I4654" s="30"/>
      <c r="J4654" s="156">
        <v>0</v>
      </c>
    </row>
    <row r="4655" spans="1:10" ht="15.75" hidden="1" thickBot="1" x14ac:dyDescent="0.3">
      <c r="A4655" s="222"/>
      <c r="B4655" s="225"/>
      <c r="C4655" s="32"/>
      <c r="D4655" s="32"/>
      <c r="E4655" s="33"/>
      <c r="F4655" s="43" t="s">
        <v>572</v>
      </c>
      <c r="G4655" s="34" t="str">
        <f t="shared" si="81"/>
        <v/>
      </c>
      <c r="H4655" s="35"/>
      <c r="I4655" s="31"/>
      <c r="J4655" s="156">
        <v>0</v>
      </c>
    </row>
    <row r="4656" spans="1:10" ht="15.75" hidden="1" thickBot="1" x14ac:dyDescent="0.3">
      <c r="A4656" s="222"/>
      <c r="B4656" s="225"/>
      <c r="C4656" s="36" t="s">
        <v>68</v>
      </c>
      <c r="D4656" s="36" t="s">
        <v>12</v>
      </c>
      <c r="E4656" s="37">
        <v>0.15</v>
      </c>
      <c r="F4656" s="34">
        <v>20.539000000000001</v>
      </c>
      <c r="G4656" s="34">
        <f t="shared" si="81"/>
        <v>3.0808500000000003</v>
      </c>
      <c r="H4656" s="39">
        <f>SUM(G4656:G4657)</f>
        <v>3.0808500000000003</v>
      </c>
      <c r="I4656" s="40"/>
      <c r="J4656" s="156">
        <v>0</v>
      </c>
    </row>
    <row r="4657" spans="1:10" ht="26.25" hidden="1" thickBot="1" x14ac:dyDescent="0.3">
      <c r="A4657" s="222"/>
      <c r="B4657" s="225"/>
      <c r="C4657" s="36" t="s">
        <v>3645</v>
      </c>
      <c r="D4657" s="36" t="s">
        <v>20</v>
      </c>
      <c r="E4657" s="37">
        <v>1</v>
      </c>
      <c r="F4657" s="31" t="s">
        <v>572</v>
      </c>
      <c r="G4657" s="34" t="str">
        <f t="shared" si="81"/>
        <v/>
      </c>
      <c r="H4657" s="35"/>
      <c r="I4657" s="31"/>
      <c r="J4657" s="156">
        <v>0</v>
      </c>
    </row>
    <row r="4658" spans="1:10" ht="15.75" hidden="1" thickBot="1" x14ac:dyDescent="0.3">
      <c r="A4658" s="223"/>
      <c r="B4658" s="226"/>
      <c r="C4658" s="36"/>
      <c r="D4658" s="36"/>
      <c r="E4658" s="37"/>
      <c r="F4658" s="31" t="s">
        <v>572</v>
      </c>
      <c r="G4658" s="34" t="str">
        <f t="shared" si="81"/>
        <v/>
      </c>
      <c r="H4658" s="35"/>
      <c r="I4658" s="31"/>
      <c r="J4658" s="156">
        <v>0</v>
      </c>
    </row>
    <row r="4659" spans="1:10" ht="15.75" hidden="1" thickBot="1" x14ac:dyDescent="0.3">
      <c r="A4659" s="221" t="s">
        <v>3497</v>
      </c>
      <c r="B4659" s="224" t="str">
        <f>INDEX(Orçamentária!A:B,MATCH(Composições!A4659,Orçamentária!A:A,0),2)</f>
        <v>Batedor/amortecedor lateral para box de correr</v>
      </c>
      <c r="C4659" s="41"/>
      <c r="D4659" s="26" t="str">
        <f>TRIM(INDEX(Orçamentária!C:C,MATCH(Composições!A4659,Orçamentária!A:A,0),1))</f>
        <v>un</v>
      </c>
      <c r="E4659" s="27"/>
      <c r="F4659" s="42" t="s">
        <v>572</v>
      </c>
      <c r="G4659" s="28" t="str">
        <f t="shared" si="81"/>
        <v/>
      </c>
      <c r="H4659" s="29"/>
      <c r="I4659" s="30"/>
      <c r="J4659" s="156">
        <v>0</v>
      </c>
    </row>
    <row r="4660" spans="1:10" ht="15.75" hidden="1" thickBot="1" x14ac:dyDescent="0.3">
      <c r="A4660" s="222"/>
      <c r="B4660" s="225"/>
      <c r="C4660" s="32"/>
      <c r="D4660" s="32"/>
      <c r="E4660" s="33"/>
      <c r="F4660" s="43" t="s">
        <v>572</v>
      </c>
      <c r="G4660" s="34" t="str">
        <f t="shared" si="81"/>
        <v/>
      </c>
      <c r="H4660" s="35"/>
      <c r="I4660" s="31"/>
      <c r="J4660" s="156">
        <v>0</v>
      </c>
    </row>
    <row r="4661" spans="1:10" ht="15.75" hidden="1" thickBot="1" x14ac:dyDescent="0.3">
      <c r="A4661" s="222"/>
      <c r="B4661" s="225"/>
      <c r="C4661" s="36" t="s">
        <v>68</v>
      </c>
      <c r="D4661" s="36" t="s">
        <v>12</v>
      </c>
      <c r="E4661" s="37">
        <v>0.15</v>
      </c>
      <c r="F4661" s="34">
        <v>20.539000000000001</v>
      </c>
      <c r="G4661" s="34">
        <f t="shared" si="81"/>
        <v>3.0808500000000003</v>
      </c>
      <c r="H4661" s="39">
        <f>SUM(G4661:G4662)</f>
        <v>3.0808500000000003</v>
      </c>
      <c r="I4661" s="40"/>
      <c r="J4661" s="156">
        <v>0</v>
      </c>
    </row>
    <row r="4662" spans="1:10" ht="15.75" hidden="1" thickBot="1" x14ac:dyDescent="0.3">
      <c r="A4662" s="222"/>
      <c r="B4662" s="225"/>
      <c r="C4662" s="36" t="s">
        <v>3646</v>
      </c>
      <c r="D4662" s="36" t="s">
        <v>20</v>
      </c>
      <c r="E4662" s="37">
        <v>1</v>
      </c>
      <c r="F4662" s="31" t="s">
        <v>572</v>
      </c>
      <c r="G4662" s="34" t="str">
        <f t="shared" si="81"/>
        <v/>
      </c>
      <c r="H4662" s="35"/>
      <c r="I4662" s="31"/>
      <c r="J4662" s="156">
        <v>0</v>
      </c>
    </row>
    <row r="4663" spans="1:10" ht="15.75" hidden="1" thickBot="1" x14ac:dyDescent="0.3">
      <c r="A4663" s="223"/>
      <c r="B4663" s="226"/>
      <c r="C4663" s="36"/>
      <c r="D4663" s="36"/>
      <c r="E4663" s="37"/>
      <c r="F4663" s="31" t="s">
        <v>572</v>
      </c>
      <c r="G4663" s="34" t="str">
        <f t="shared" si="81"/>
        <v/>
      </c>
      <c r="H4663" s="35"/>
      <c r="I4663" s="31"/>
      <c r="J4663" s="156">
        <v>0</v>
      </c>
    </row>
    <row r="4664" spans="1:10" ht="15.75" hidden="1" thickBot="1" x14ac:dyDescent="0.3">
      <c r="A4664" s="221" t="s">
        <v>3498</v>
      </c>
      <c r="B4664" s="224" t="str">
        <f>INDEX(Orçamentária!A:B,MATCH(Composições!A4664,Orçamentária!A:A,0),2)</f>
        <v>Batedor/limitador superior para box de correr</v>
      </c>
      <c r="C4664" s="41"/>
      <c r="D4664" s="26" t="str">
        <f>TRIM(INDEX(Orçamentária!C:C,MATCH(Composições!A4664,Orçamentária!A:A,0),1))</f>
        <v>un</v>
      </c>
      <c r="E4664" s="27"/>
      <c r="F4664" s="42" t="s">
        <v>572</v>
      </c>
      <c r="G4664" s="28" t="str">
        <f t="shared" si="81"/>
        <v/>
      </c>
      <c r="H4664" s="29"/>
      <c r="I4664" s="30"/>
      <c r="J4664" s="156">
        <v>0</v>
      </c>
    </row>
    <row r="4665" spans="1:10" ht="15.75" hidden="1" thickBot="1" x14ac:dyDescent="0.3">
      <c r="A4665" s="222"/>
      <c r="B4665" s="225"/>
      <c r="C4665" s="32"/>
      <c r="D4665" s="32"/>
      <c r="E4665" s="33"/>
      <c r="F4665" s="43" t="s">
        <v>572</v>
      </c>
      <c r="G4665" s="34" t="str">
        <f t="shared" si="81"/>
        <v/>
      </c>
      <c r="H4665" s="35"/>
      <c r="I4665" s="31"/>
      <c r="J4665" s="156">
        <v>0</v>
      </c>
    </row>
    <row r="4666" spans="1:10" ht="15.75" hidden="1" thickBot="1" x14ac:dyDescent="0.3">
      <c r="A4666" s="222"/>
      <c r="B4666" s="225"/>
      <c r="C4666" s="36" t="s">
        <v>68</v>
      </c>
      <c r="D4666" s="36" t="s">
        <v>12</v>
      </c>
      <c r="E4666" s="37">
        <v>0.15</v>
      </c>
      <c r="F4666" s="34">
        <v>20.539000000000001</v>
      </c>
      <c r="G4666" s="34">
        <f t="shared" si="81"/>
        <v>3.0808500000000003</v>
      </c>
      <c r="H4666" s="39">
        <f>SUM(G4666:G4667)</f>
        <v>3.0808500000000003</v>
      </c>
      <c r="I4666" s="40"/>
      <c r="J4666" s="156">
        <v>0</v>
      </c>
    </row>
    <row r="4667" spans="1:10" ht="26.25" hidden="1" thickBot="1" x14ac:dyDescent="0.3">
      <c r="A4667" s="222"/>
      <c r="B4667" s="225"/>
      <c r="C4667" s="36" t="s">
        <v>3647</v>
      </c>
      <c r="D4667" s="36" t="s">
        <v>20</v>
      </c>
      <c r="E4667" s="37">
        <v>1</v>
      </c>
      <c r="F4667" s="31" t="s">
        <v>572</v>
      </c>
      <c r="G4667" s="34" t="str">
        <f t="shared" si="81"/>
        <v/>
      </c>
      <c r="H4667" s="35"/>
      <c r="I4667" s="31"/>
      <c r="J4667" s="156">
        <v>0</v>
      </c>
    </row>
    <row r="4668" spans="1:10" ht="15.75" hidden="1" thickBot="1" x14ac:dyDescent="0.3">
      <c r="A4668" s="223"/>
      <c r="B4668" s="226"/>
      <c r="C4668" s="36"/>
      <c r="D4668" s="36"/>
      <c r="E4668" s="37"/>
      <c r="F4668" s="31" t="s">
        <v>572</v>
      </c>
      <c r="G4668" s="34" t="str">
        <f t="shared" si="81"/>
        <v/>
      </c>
      <c r="H4668" s="35"/>
      <c r="I4668" s="31"/>
      <c r="J4668" s="156">
        <v>0</v>
      </c>
    </row>
    <row r="4669" spans="1:10" ht="15.75" hidden="1" customHeight="1" thickBot="1" x14ac:dyDescent="0.3">
      <c r="A4669" s="221" t="s">
        <v>3499</v>
      </c>
      <c r="B4669" s="224" t="str">
        <f>INDEX(Orçamentária!A:B,MATCH(Composições!A4669,Orçamentária!A:A,0),2)</f>
        <v>Perfil cadeirinha em alumínio com encaixe para escova de vedação para vidro temperado 8mm</v>
      </c>
      <c r="C4669" s="41"/>
      <c r="D4669" s="26" t="str">
        <f>TRIM(INDEX(Orçamentária!C:C,MATCH(Composições!A4669,Orçamentária!A:A,0),1))</f>
        <v>m</v>
      </c>
      <c r="E4669" s="27"/>
      <c r="F4669" s="42" t="s">
        <v>572</v>
      </c>
      <c r="G4669" s="28" t="str">
        <f t="shared" si="81"/>
        <v/>
      </c>
      <c r="H4669" s="29"/>
      <c r="I4669" s="30"/>
      <c r="J4669" s="156">
        <v>0</v>
      </c>
    </row>
    <row r="4670" spans="1:10" ht="15.75" hidden="1" thickBot="1" x14ac:dyDescent="0.3">
      <c r="A4670" s="227"/>
      <c r="B4670" s="229"/>
      <c r="C4670" s="32"/>
      <c r="D4670" s="32"/>
      <c r="E4670" s="33"/>
      <c r="F4670" s="43" t="s">
        <v>572</v>
      </c>
      <c r="G4670" s="34" t="str">
        <f t="shared" si="81"/>
        <v/>
      </c>
      <c r="H4670" s="35"/>
      <c r="I4670" s="31"/>
      <c r="J4670" s="156">
        <v>0</v>
      </c>
    </row>
    <row r="4671" spans="1:10" ht="15.75" hidden="1" thickBot="1" x14ac:dyDescent="0.3">
      <c r="A4671" s="227"/>
      <c r="B4671" s="229"/>
      <c r="C4671" s="36" t="s">
        <v>68</v>
      </c>
      <c r="D4671" s="36" t="s">
        <v>12</v>
      </c>
      <c r="E4671" s="37">
        <v>0.2</v>
      </c>
      <c r="F4671" s="34">
        <v>20.539000000000001</v>
      </c>
      <c r="G4671" s="34">
        <f t="shared" si="81"/>
        <v>4.1078000000000001</v>
      </c>
      <c r="H4671" s="39">
        <f>SUM(G4671:G4672)</f>
        <v>8.6599910000000015</v>
      </c>
      <c r="I4671" s="40"/>
      <c r="J4671" s="156">
        <v>0</v>
      </c>
    </row>
    <row r="4672" spans="1:10" ht="15.75" hidden="1" thickBot="1" x14ac:dyDescent="0.3">
      <c r="A4672" s="227"/>
      <c r="B4672" s="229"/>
      <c r="C4672" s="36" t="s">
        <v>893</v>
      </c>
      <c r="D4672" s="36" t="s">
        <v>42</v>
      </c>
      <c r="E4672" s="37">
        <v>0.126</v>
      </c>
      <c r="F4672" s="31">
        <v>36.128500000000003</v>
      </c>
      <c r="G4672" s="34">
        <f t="shared" si="81"/>
        <v>4.5521910000000005</v>
      </c>
      <c r="H4672" s="35"/>
      <c r="I4672" s="31"/>
      <c r="J4672" s="156">
        <v>0</v>
      </c>
    </row>
    <row r="4673" spans="1:10" ht="15.75" hidden="1" thickBot="1" x14ac:dyDescent="0.3">
      <c r="A4673" s="227"/>
      <c r="B4673" s="229"/>
      <c r="C4673" s="36"/>
      <c r="D4673" s="36"/>
      <c r="E4673" s="37"/>
      <c r="F4673" s="31"/>
      <c r="G4673" s="34"/>
      <c r="H4673" s="35"/>
      <c r="I4673" s="31"/>
      <c r="J4673" s="156">
        <v>0</v>
      </c>
    </row>
    <row r="4674" spans="1:10" ht="15.75" hidden="1" thickBot="1" x14ac:dyDescent="0.3">
      <c r="A4674" s="227"/>
      <c r="B4674" s="229"/>
      <c r="C4674" s="52" t="s">
        <v>3649</v>
      </c>
      <c r="D4674" s="36"/>
      <c r="E4674" s="37"/>
      <c r="F4674" s="31"/>
      <c r="G4674" s="34"/>
      <c r="H4674" s="35"/>
      <c r="I4674" s="31"/>
      <c r="J4674" s="156">
        <v>0</v>
      </c>
    </row>
    <row r="4675" spans="1:10" ht="15.75" hidden="1" thickBot="1" x14ac:dyDescent="0.3">
      <c r="A4675" s="227"/>
      <c r="B4675" s="229"/>
      <c r="C4675" s="52" t="s">
        <v>3648</v>
      </c>
      <c r="D4675" s="36"/>
      <c r="E4675" s="37"/>
      <c r="F4675" s="31" t="s">
        <v>572</v>
      </c>
      <c r="G4675" s="34" t="str">
        <f>IF(ISNUMBER(F4675),E4675*F4675,"")</f>
        <v/>
      </c>
      <c r="H4675" s="35"/>
      <c r="I4675" s="31"/>
      <c r="J4675" s="156">
        <v>0</v>
      </c>
    </row>
    <row r="4676" spans="1:10" ht="15.75" hidden="1" thickBot="1" x14ac:dyDescent="0.3">
      <c r="A4676" s="228"/>
      <c r="B4676" s="226"/>
      <c r="C4676" s="52"/>
      <c r="D4676" s="36"/>
      <c r="E4676" s="37"/>
      <c r="F4676" s="31"/>
      <c r="G4676" s="34"/>
      <c r="H4676" s="35"/>
      <c r="I4676" s="31"/>
      <c r="J4676" s="156">
        <v>0</v>
      </c>
    </row>
    <row r="4677" spans="1:10" ht="15.75" hidden="1" thickBot="1" x14ac:dyDescent="0.3">
      <c r="A4677" s="221" t="s">
        <v>3500</v>
      </c>
      <c r="B4677" s="224" t="str">
        <f>INDEX(Orçamentária!A:B,MATCH(Composições!A4677,Orçamentária!A:A,0),2)</f>
        <v>Perfil em alumínio para acabamento de trilho superior - Vidro temperado 8mm</v>
      </c>
      <c r="C4677" s="41"/>
      <c r="D4677" s="26" t="str">
        <f>TRIM(INDEX(Orçamentária!C:C,MATCH(Composições!A4677,Orçamentária!A:A,0),1))</f>
        <v>m</v>
      </c>
      <c r="E4677" s="27"/>
      <c r="F4677" s="42" t="s">
        <v>572</v>
      </c>
      <c r="G4677" s="28" t="str">
        <f>IF(ISNUMBER(F4677),E4677*F4677,"")</f>
        <v/>
      </c>
      <c r="H4677" s="29"/>
      <c r="I4677" s="30"/>
      <c r="J4677" s="156">
        <v>0</v>
      </c>
    </row>
    <row r="4678" spans="1:10" ht="15.75" hidden="1" thickBot="1" x14ac:dyDescent="0.3">
      <c r="A4678" s="222"/>
      <c r="B4678" s="225"/>
      <c r="C4678" s="32"/>
      <c r="D4678" s="32"/>
      <c r="E4678" s="33"/>
      <c r="F4678" s="43" t="s">
        <v>572</v>
      </c>
      <c r="G4678" s="34" t="str">
        <f>IF(ISNUMBER(F4678),E4678*F4678,"")</f>
        <v/>
      </c>
      <c r="H4678" s="35"/>
      <c r="I4678" s="31"/>
      <c r="J4678" s="156">
        <v>0</v>
      </c>
    </row>
    <row r="4679" spans="1:10" ht="15.75" hidden="1" thickBot="1" x14ac:dyDescent="0.3">
      <c r="A4679" s="222"/>
      <c r="B4679" s="225"/>
      <c r="C4679" s="36" t="s">
        <v>68</v>
      </c>
      <c r="D4679" s="36" t="s">
        <v>12</v>
      </c>
      <c r="E4679" s="37">
        <v>0.2</v>
      </c>
      <c r="F4679" s="34">
        <v>20.539000000000001</v>
      </c>
      <c r="G4679" s="34">
        <f>IF(ISNUMBER(F4679),E4679*F4679,"")</f>
        <v>4.1078000000000001</v>
      </c>
      <c r="H4679" s="39">
        <f>SUM(G4679:G4680)</f>
        <v>12.236712499999999</v>
      </c>
      <c r="I4679" s="40"/>
      <c r="J4679" s="156">
        <v>0</v>
      </c>
    </row>
    <row r="4680" spans="1:10" ht="15.75" hidden="1" thickBot="1" x14ac:dyDescent="0.3">
      <c r="A4680" s="222"/>
      <c r="B4680" s="225"/>
      <c r="C4680" s="36" t="s">
        <v>893</v>
      </c>
      <c r="D4680" s="36" t="s">
        <v>42</v>
      </c>
      <c r="E4680" s="37">
        <v>0.22500000000000001</v>
      </c>
      <c r="F4680" s="31">
        <v>36.128500000000003</v>
      </c>
      <c r="G4680" s="34">
        <f>IF(ISNUMBER(F4680),E4680*F4680,"")</f>
        <v>8.1289125000000002</v>
      </c>
      <c r="H4680" s="35"/>
      <c r="I4680" s="31"/>
      <c r="J4680" s="156">
        <v>0</v>
      </c>
    </row>
    <row r="4681" spans="1:10" ht="15.75" hidden="1" thickBot="1" x14ac:dyDescent="0.3">
      <c r="A4681" s="222"/>
      <c r="B4681" s="225"/>
      <c r="C4681" s="36"/>
      <c r="D4681" s="36"/>
      <c r="E4681" s="37"/>
      <c r="F4681" s="31"/>
      <c r="G4681" s="34"/>
      <c r="H4681" s="35"/>
      <c r="I4681" s="31"/>
      <c r="J4681" s="156">
        <v>0</v>
      </c>
    </row>
    <row r="4682" spans="1:10" ht="15.75" hidden="1" thickBot="1" x14ac:dyDescent="0.3">
      <c r="A4682" s="222"/>
      <c r="B4682" s="225"/>
      <c r="C4682" s="52" t="s">
        <v>3650</v>
      </c>
      <c r="D4682" s="36"/>
      <c r="E4682" s="37"/>
      <c r="F4682" s="31"/>
      <c r="G4682" s="34"/>
      <c r="H4682" s="35"/>
      <c r="I4682" s="31"/>
      <c r="J4682" s="156">
        <v>0</v>
      </c>
    </row>
    <row r="4683" spans="1:10" ht="15.75" hidden="1" thickBot="1" x14ac:dyDescent="0.3">
      <c r="A4683" s="222"/>
      <c r="B4683" s="225"/>
      <c r="C4683" s="52" t="s">
        <v>3648</v>
      </c>
      <c r="D4683" s="36"/>
      <c r="E4683" s="37"/>
      <c r="F4683" s="31"/>
      <c r="G4683" s="34"/>
      <c r="H4683" s="35"/>
      <c r="I4683" s="31"/>
      <c r="J4683" s="156">
        <v>0</v>
      </c>
    </row>
    <row r="4684" spans="1:10" ht="15.75" hidden="1" thickBot="1" x14ac:dyDescent="0.3">
      <c r="A4684" s="223"/>
      <c r="B4684" s="226"/>
      <c r="C4684" s="36"/>
      <c r="D4684" s="36"/>
      <c r="E4684" s="37"/>
      <c r="F4684" s="31" t="s">
        <v>572</v>
      </c>
      <c r="G4684" s="34" t="str">
        <f>IF(ISNUMBER(F4684),E4684*F4684,"")</f>
        <v/>
      </c>
      <c r="H4684" s="35"/>
      <c r="I4684" s="31"/>
      <c r="J4684" s="156">
        <v>0</v>
      </c>
    </row>
    <row r="4685" spans="1:10" ht="15.75" hidden="1" thickBot="1" x14ac:dyDescent="0.3">
      <c r="A4685" s="221" t="s">
        <v>3501</v>
      </c>
      <c r="B4685" s="224" t="str">
        <f>INDEX(Orçamentária!A:B,MATCH(Composições!A4685,Orçamentária!A:A,0),2)</f>
        <v>Capa do Perfil Guia Inferior “Click” - Vidro temperado 8mm</v>
      </c>
      <c r="C4685" s="41"/>
      <c r="D4685" s="26" t="str">
        <f>TRIM(INDEX(Orçamentária!C:C,MATCH(Composições!A4685,Orçamentária!A:A,0),1))</f>
        <v>m</v>
      </c>
      <c r="E4685" s="27"/>
      <c r="F4685" s="42" t="s">
        <v>572</v>
      </c>
      <c r="G4685" s="28" t="str">
        <f>IF(ISNUMBER(F4685),E4685*F4685,"")</f>
        <v/>
      </c>
      <c r="H4685" s="29"/>
      <c r="I4685" s="30"/>
      <c r="J4685" s="156">
        <v>0</v>
      </c>
    </row>
    <row r="4686" spans="1:10" ht="15.75" hidden="1" thickBot="1" x14ac:dyDescent="0.3">
      <c r="A4686" s="222"/>
      <c r="B4686" s="225"/>
      <c r="C4686" s="32"/>
      <c r="D4686" s="32"/>
      <c r="E4686" s="33"/>
      <c r="F4686" s="43" t="s">
        <v>572</v>
      </c>
      <c r="G4686" s="34" t="str">
        <f>IF(ISNUMBER(F4686),E4686*F4686,"")</f>
        <v/>
      </c>
      <c r="H4686" s="35"/>
      <c r="I4686" s="31"/>
      <c r="J4686" s="156">
        <v>0</v>
      </c>
    </row>
    <row r="4687" spans="1:10" ht="15.75" hidden="1" thickBot="1" x14ac:dyDescent="0.3">
      <c r="A4687" s="222"/>
      <c r="B4687" s="225"/>
      <c r="C4687" s="36" t="s">
        <v>68</v>
      </c>
      <c r="D4687" s="36" t="s">
        <v>12</v>
      </c>
      <c r="E4687" s="37">
        <v>0.15</v>
      </c>
      <c r="F4687" s="34">
        <v>20.539000000000001</v>
      </c>
      <c r="G4687" s="34">
        <f>IF(ISNUMBER(F4687),E4687*F4687,"")</f>
        <v>3.0808500000000003</v>
      </c>
      <c r="H4687" s="39">
        <f>SUM(G4687:G4688)</f>
        <v>5.0679175000000001</v>
      </c>
      <c r="I4687" s="40"/>
      <c r="J4687" s="156">
        <v>0</v>
      </c>
    </row>
    <row r="4688" spans="1:10" ht="15.75" hidden="1" thickBot="1" x14ac:dyDescent="0.3">
      <c r="A4688" s="222"/>
      <c r="B4688" s="225"/>
      <c r="C4688" s="36" t="s">
        <v>893</v>
      </c>
      <c r="D4688" s="36" t="s">
        <v>42</v>
      </c>
      <c r="E4688" s="37">
        <v>5.5E-2</v>
      </c>
      <c r="F4688" s="31">
        <v>36.128500000000003</v>
      </c>
      <c r="G4688" s="34">
        <f>IF(ISNUMBER(F4688),E4688*F4688,"")</f>
        <v>1.9870675000000002</v>
      </c>
      <c r="H4688" s="35"/>
      <c r="I4688" s="31"/>
      <c r="J4688" s="156">
        <v>0</v>
      </c>
    </row>
    <row r="4689" spans="1:10" ht="15.75" hidden="1" thickBot="1" x14ac:dyDescent="0.3">
      <c r="A4689" s="222"/>
      <c r="B4689" s="225"/>
      <c r="C4689" s="36"/>
      <c r="D4689" s="36"/>
      <c r="E4689" s="37"/>
      <c r="F4689" s="31"/>
      <c r="G4689" s="34"/>
      <c r="H4689" s="35"/>
      <c r="I4689" s="31"/>
      <c r="J4689" s="156">
        <v>0</v>
      </c>
    </row>
    <row r="4690" spans="1:10" ht="15.75" hidden="1" thickBot="1" x14ac:dyDescent="0.3">
      <c r="A4690" s="222"/>
      <c r="B4690" s="225"/>
      <c r="C4690" s="52" t="s">
        <v>3651</v>
      </c>
      <c r="D4690" s="36"/>
      <c r="E4690" s="37"/>
      <c r="F4690" s="31"/>
      <c r="G4690" s="34"/>
      <c r="H4690" s="35"/>
      <c r="I4690" s="31"/>
      <c r="J4690" s="156">
        <v>0</v>
      </c>
    </row>
    <row r="4691" spans="1:10" ht="15.75" hidden="1" thickBot="1" x14ac:dyDescent="0.3">
      <c r="A4691" s="222"/>
      <c r="B4691" s="225"/>
      <c r="C4691" s="52" t="s">
        <v>3648</v>
      </c>
      <c r="D4691" s="36"/>
      <c r="E4691" s="37"/>
      <c r="F4691" s="31"/>
      <c r="G4691" s="34"/>
      <c r="H4691" s="35"/>
      <c r="I4691" s="31"/>
      <c r="J4691" s="156">
        <v>0</v>
      </c>
    </row>
    <row r="4692" spans="1:10" ht="15.75" hidden="1" thickBot="1" x14ac:dyDescent="0.3">
      <c r="A4692" s="223"/>
      <c r="B4692" s="226"/>
      <c r="C4692" s="36"/>
      <c r="D4692" s="36"/>
      <c r="E4692" s="37"/>
      <c r="F4692" s="31" t="s">
        <v>572</v>
      </c>
      <c r="G4692" s="34" t="str">
        <f>IF(ISNUMBER(F4692),E4692*F4692,"")</f>
        <v/>
      </c>
      <c r="H4692" s="35"/>
      <c r="I4692" s="31"/>
      <c r="J4692" s="156">
        <v>0</v>
      </c>
    </row>
    <row r="4693" spans="1:10" ht="15.75" hidden="1" thickBot="1" x14ac:dyDescent="0.3">
      <c r="A4693" s="221" t="s">
        <v>3502</v>
      </c>
      <c r="B4693" s="224" t="str">
        <f>INDEX(Orçamentária!A:B,MATCH(Composições!A4693,Orçamentária!A:A,0),2)</f>
        <v>Perfil guia inferior de alumínio para porta de giro em vidro temperado 8mm</v>
      </c>
      <c r="C4693" s="41"/>
      <c r="D4693" s="26" t="str">
        <f>TRIM(INDEX(Orçamentária!C:C,MATCH(Composições!A4693,Orçamentária!A:A,0),1))</f>
        <v>m</v>
      </c>
      <c r="E4693" s="27"/>
      <c r="F4693" s="42" t="s">
        <v>572</v>
      </c>
      <c r="G4693" s="28" t="str">
        <f>IF(ISNUMBER(F4693),E4693*F4693,"")</f>
        <v/>
      </c>
      <c r="H4693" s="29"/>
      <c r="I4693" s="30"/>
      <c r="J4693" s="156">
        <v>0</v>
      </c>
    </row>
    <row r="4694" spans="1:10" ht="15.75" hidden="1" thickBot="1" x14ac:dyDescent="0.3">
      <c r="A4694" s="222"/>
      <c r="B4694" s="225"/>
      <c r="C4694" s="32"/>
      <c r="D4694" s="32"/>
      <c r="E4694" s="33"/>
      <c r="F4694" s="43" t="s">
        <v>572</v>
      </c>
      <c r="G4694" s="34" t="str">
        <f>IF(ISNUMBER(F4694),E4694*F4694,"")</f>
        <v/>
      </c>
      <c r="H4694" s="35"/>
      <c r="I4694" s="31"/>
      <c r="J4694" s="156">
        <v>0</v>
      </c>
    </row>
    <row r="4695" spans="1:10" ht="15.75" hidden="1" thickBot="1" x14ac:dyDescent="0.3">
      <c r="A4695" s="222"/>
      <c r="B4695" s="225"/>
      <c r="C4695" s="36" t="s">
        <v>68</v>
      </c>
      <c r="D4695" s="36" t="s">
        <v>12</v>
      </c>
      <c r="E4695" s="37">
        <v>0.3</v>
      </c>
      <c r="F4695" s="34">
        <v>20.539000000000001</v>
      </c>
      <c r="G4695" s="34">
        <f>IF(ISNUMBER(F4695),E4695*F4695,"")</f>
        <v>6.1617000000000006</v>
      </c>
      <c r="H4695" s="39">
        <f>SUM(G4695:G4696)</f>
        <v>13.676428000000001</v>
      </c>
      <c r="I4695" s="40"/>
      <c r="J4695" s="156">
        <v>0</v>
      </c>
    </row>
    <row r="4696" spans="1:10" ht="15.75" hidden="1" thickBot="1" x14ac:dyDescent="0.3">
      <c r="A4696" s="222"/>
      <c r="B4696" s="225"/>
      <c r="C4696" s="36" t="s">
        <v>893</v>
      </c>
      <c r="D4696" s="36" t="s">
        <v>42</v>
      </c>
      <c r="E4696" s="37">
        <v>0.20799999999999999</v>
      </c>
      <c r="F4696" s="31">
        <v>36.128500000000003</v>
      </c>
      <c r="G4696" s="34">
        <f>IF(ISNUMBER(F4696),E4696*F4696,"")</f>
        <v>7.5147279999999999</v>
      </c>
      <c r="H4696" s="35"/>
      <c r="I4696" s="31"/>
      <c r="J4696" s="156">
        <v>0</v>
      </c>
    </row>
    <row r="4697" spans="1:10" ht="15.75" hidden="1" thickBot="1" x14ac:dyDescent="0.3">
      <c r="A4697" s="222"/>
      <c r="B4697" s="225"/>
      <c r="C4697" s="36"/>
      <c r="D4697" s="36"/>
      <c r="E4697" s="37"/>
      <c r="F4697" s="31"/>
      <c r="G4697" s="34"/>
      <c r="H4697" s="35"/>
      <c r="I4697" s="31"/>
      <c r="J4697" s="156">
        <v>0</v>
      </c>
    </row>
    <row r="4698" spans="1:10" ht="15.75" hidden="1" thickBot="1" x14ac:dyDescent="0.3">
      <c r="A4698" s="222"/>
      <c r="B4698" s="225"/>
      <c r="C4698" s="52" t="s">
        <v>3652</v>
      </c>
      <c r="D4698" s="36"/>
      <c r="E4698" s="37"/>
      <c r="F4698" s="31"/>
      <c r="G4698" s="34"/>
      <c r="H4698" s="35"/>
      <c r="I4698" s="31"/>
      <c r="J4698" s="156">
        <v>0</v>
      </c>
    </row>
    <row r="4699" spans="1:10" ht="15.75" hidden="1" thickBot="1" x14ac:dyDescent="0.3">
      <c r="A4699" s="222"/>
      <c r="B4699" s="225"/>
      <c r="C4699" s="52" t="s">
        <v>3648</v>
      </c>
      <c r="D4699" s="36"/>
      <c r="E4699" s="37"/>
      <c r="F4699" s="31"/>
      <c r="G4699" s="34"/>
      <c r="H4699" s="35"/>
      <c r="I4699" s="31"/>
      <c r="J4699" s="156">
        <v>0</v>
      </c>
    </row>
    <row r="4700" spans="1:10" ht="15.75" hidden="1" thickBot="1" x14ac:dyDescent="0.3">
      <c r="A4700" s="223"/>
      <c r="B4700" s="226"/>
      <c r="C4700" s="36"/>
      <c r="D4700" s="36"/>
      <c r="E4700" s="37"/>
      <c r="F4700" s="31" t="s">
        <v>572</v>
      </c>
      <c r="G4700" s="34" t="str">
        <f>IF(ISNUMBER(F4700),E4700*F4700,"")</f>
        <v/>
      </c>
      <c r="H4700" s="35"/>
      <c r="I4700" s="31"/>
      <c r="J4700" s="156">
        <v>0</v>
      </c>
    </row>
    <row r="4701" spans="1:10" ht="15.75" hidden="1" thickBot="1" x14ac:dyDescent="0.3">
      <c r="A4701" s="221" t="s">
        <v>3503</v>
      </c>
      <c r="B4701" s="224" t="str">
        <f>INDEX(Orçamentária!A:B,MATCH(Composições!A4701,Orçamentária!A:A,0),2)</f>
        <v>Perfil guia inferior de alumínio para porta de correr em vidro temperado 8mm</v>
      </c>
      <c r="C4701" s="41"/>
      <c r="D4701" s="26" t="str">
        <f>TRIM(INDEX(Orçamentária!C:C,MATCH(Composições!A4701,Orçamentária!A:A,0),1))</f>
        <v>m</v>
      </c>
      <c r="E4701" s="27"/>
      <c r="F4701" s="42" t="s">
        <v>572</v>
      </c>
      <c r="G4701" s="28" t="str">
        <f>IF(ISNUMBER(F4701),E4701*F4701,"")</f>
        <v/>
      </c>
      <c r="H4701" s="29"/>
      <c r="I4701" s="30"/>
      <c r="J4701" s="156">
        <v>0</v>
      </c>
    </row>
    <row r="4702" spans="1:10" ht="15.75" hidden="1" thickBot="1" x14ac:dyDescent="0.3">
      <c r="A4702" s="222"/>
      <c r="B4702" s="225"/>
      <c r="C4702" s="32"/>
      <c r="D4702" s="32"/>
      <c r="E4702" s="33"/>
      <c r="F4702" s="43" t="s">
        <v>572</v>
      </c>
      <c r="G4702" s="34" t="str">
        <f>IF(ISNUMBER(F4702),E4702*F4702,"")</f>
        <v/>
      </c>
      <c r="H4702" s="35"/>
      <c r="I4702" s="31"/>
      <c r="J4702" s="156">
        <v>0</v>
      </c>
    </row>
    <row r="4703" spans="1:10" ht="15.75" hidden="1" thickBot="1" x14ac:dyDescent="0.3">
      <c r="A4703" s="222"/>
      <c r="B4703" s="225"/>
      <c r="C4703" s="36" t="s">
        <v>68</v>
      </c>
      <c r="D4703" s="36" t="s">
        <v>12</v>
      </c>
      <c r="E4703" s="37">
        <v>0.3</v>
      </c>
      <c r="F4703" s="34">
        <v>20.539000000000001</v>
      </c>
      <c r="G4703" s="34">
        <f>IF(ISNUMBER(F4703),E4703*F4703,"")</f>
        <v>6.1617000000000006</v>
      </c>
      <c r="H4703" s="39">
        <f>SUM(G4703:G4704)</f>
        <v>15.518981500000002</v>
      </c>
      <c r="I4703" s="40"/>
      <c r="J4703" s="156">
        <v>0</v>
      </c>
    </row>
    <row r="4704" spans="1:10" ht="15.75" hidden="1" thickBot="1" x14ac:dyDescent="0.3">
      <c r="A4704" s="222"/>
      <c r="B4704" s="225"/>
      <c r="C4704" s="36" t="s">
        <v>893</v>
      </c>
      <c r="D4704" s="36" t="s">
        <v>42</v>
      </c>
      <c r="E4704" s="37">
        <v>0.25900000000000001</v>
      </c>
      <c r="F4704" s="31">
        <v>36.128500000000003</v>
      </c>
      <c r="G4704" s="34">
        <f>IF(ISNUMBER(F4704),E4704*F4704,"")</f>
        <v>9.3572815000000009</v>
      </c>
      <c r="H4704" s="35"/>
      <c r="I4704" s="31"/>
      <c r="J4704" s="156">
        <v>0</v>
      </c>
    </row>
    <row r="4705" spans="1:10" ht="15.75" hidden="1" thickBot="1" x14ac:dyDescent="0.3">
      <c r="A4705" s="222"/>
      <c r="B4705" s="225"/>
      <c r="C4705" s="36"/>
      <c r="D4705" s="36"/>
      <c r="E4705" s="37"/>
      <c r="F4705" s="31"/>
      <c r="G4705" s="34"/>
      <c r="H4705" s="35"/>
      <c r="I4705" s="31"/>
      <c r="J4705" s="156">
        <v>0</v>
      </c>
    </row>
    <row r="4706" spans="1:10" ht="15.75" hidden="1" thickBot="1" x14ac:dyDescent="0.3">
      <c r="A4706" s="222"/>
      <c r="B4706" s="225"/>
      <c r="C4706" s="52" t="s">
        <v>3653</v>
      </c>
      <c r="D4706" s="36"/>
      <c r="E4706" s="37"/>
      <c r="F4706" s="31"/>
      <c r="G4706" s="34"/>
      <c r="H4706" s="35"/>
      <c r="I4706" s="31"/>
      <c r="J4706" s="156">
        <v>0</v>
      </c>
    </row>
    <row r="4707" spans="1:10" ht="15.75" hidden="1" thickBot="1" x14ac:dyDescent="0.3">
      <c r="A4707" s="222"/>
      <c r="B4707" s="225"/>
      <c r="C4707" s="52" t="s">
        <v>3648</v>
      </c>
      <c r="D4707" s="36"/>
      <c r="E4707" s="37"/>
      <c r="F4707" s="31"/>
      <c r="G4707" s="34"/>
      <c r="H4707" s="35"/>
      <c r="I4707" s="31"/>
      <c r="J4707" s="156">
        <v>0</v>
      </c>
    </row>
    <row r="4708" spans="1:10" ht="15.75" hidden="1" thickBot="1" x14ac:dyDescent="0.3">
      <c r="A4708" s="223"/>
      <c r="B4708" s="226"/>
      <c r="C4708" s="36"/>
      <c r="D4708" s="36"/>
      <c r="E4708" s="37"/>
      <c r="F4708" s="31" t="s">
        <v>572</v>
      </c>
      <c r="G4708" s="34" t="str">
        <f>IF(ISNUMBER(F4708),E4708*F4708,"")</f>
        <v/>
      </c>
      <c r="H4708" s="35"/>
      <c r="I4708" s="31"/>
      <c r="J4708" s="156">
        <v>0</v>
      </c>
    </row>
    <row r="4709" spans="1:10" ht="15.75" hidden="1" thickBot="1" x14ac:dyDescent="0.3">
      <c r="A4709" s="221" t="s">
        <v>3504</v>
      </c>
      <c r="B4709" s="224" t="str">
        <f>INDEX(Orçamentária!A:B,MATCH(Composições!A4709,Orçamentária!A:A,0),2)</f>
        <v>Trilho superior em alumínio 53,8mm x 49,6mm, para vidro temperado</v>
      </c>
      <c r="C4709" s="41"/>
      <c r="D4709" s="26" t="str">
        <f>TRIM(INDEX(Orçamentária!C:C,MATCH(Composições!A4709,Orçamentária!A:A,0),1))</f>
        <v>m</v>
      </c>
      <c r="E4709" s="27"/>
      <c r="F4709" s="42" t="s">
        <v>572</v>
      </c>
      <c r="G4709" s="28" t="str">
        <f>IF(ISNUMBER(F4709),E4709*F4709,"")</f>
        <v/>
      </c>
      <c r="H4709" s="29"/>
      <c r="I4709" s="30"/>
      <c r="J4709" s="156">
        <v>0</v>
      </c>
    </row>
    <row r="4710" spans="1:10" ht="15.75" hidden="1" thickBot="1" x14ac:dyDescent="0.3">
      <c r="A4710" s="222"/>
      <c r="B4710" s="225"/>
      <c r="C4710" s="32"/>
      <c r="D4710" s="32"/>
      <c r="E4710" s="33"/>
      <c r="F4710" s="43" t="s">
        <v>572</v>
      </c>
      <c r="G4710" s="34" t="str">
        <f>IF(ISNUMBER(F4710),E4710*F4710,"")</f>
        <v/>
      </c>
      <c r="H4710" s="35"/>
      <c r="I4710" s="31"/>
      <c r="J4710" s="156">
        <v>0</v>
      </c>
    </row>
    <row r="4711" spans="1:10" ht="15.75" hidden="1" thickBot="1" x14ac:dyDescent="0.3">
      <c r="A4711" s="222"/>
      <c r="B4711" s="225"/>
      <c r="C4711" s="36" t="s">
        <v>68</v>
      </c>
      <c r="D4711" s="36" t="s">
        <v>12</v>
      </c>
      <c r="E4711" s="37">
        <v>0.3</v>
      </c>
      <c r="F4711" s="34">
        <v>20.539000000000001</v>
      </c>
      <c r="G4711" s="34">
        <f>IF(ISNUMBER(F4711),E4711*F4711,"")</f>
        <v>6.1617000000000006</v>
      </c>
      <c r="H4711" s="39">
        <f>SUM(G4711:G4712)</f>
        <v>25.526576000000002</v>
      </c>
      <c r="I4711" s="40"/>
      <c r="J4711" s="156">
        <v>0</v>
      </c>
    </row>
    <row r="4712" spans="1:10" ht="15.75" hidden="1" thickBot="1" x14ac:dyDescent="0.3">
      <c r="A4712" s="222"/>
      <c r="B4712" s="225"/>
      <c r="C4712" s="36" t="s">
        <v>893</v>
      </c>
      <c r="D4712" s="36" t="s">
        <v>42</v>
      </c>
      <c r="E4712" s="37">
        <v>0.53600000000000003</v>
      </c>
      <c r="F4712" s="31">
        <v>36.128500000000003</v>
      </c>
      <c r="G4712" s="34">
        <f>IF(ISNUMBER(F4712),E4712*F4712,"")</f>
        <v>19.364876000000002</v>
      </c>
      <c r="H4712" s="35"/>
      <c r="I4712" s="31"/>
      <c r="J4712" s="156">
        <v>0</v>
      </c>
    </row>
    <row r="4713" spans="1:10" ht="15.75" hidden="1" thickBot="1" x14ac:dyDescent="0.3">
      <c r="A4713" s="222"/>
      <c r="B4713" s="225"/>
      <c r="C4713" s="36"/>
      <c r="D4713" s="36"/>
      <c r="E4713" s="37"/>
      <c r="F4713" s="31"/>
      <c r="G4713" s="34"/>
      <c r="H4713" s="35"/>
      <c r="I4713" s="31"/>
      <c r="J4713" s="156">
        <v>0</v>
      </c>
    </row>
    <row r="4714" spans="1:10" ht="15.75" hidden="1" thickBot="1" x14ac:dyDescent="0.3">
      <c r="A4714" s="222"/>
      <c r="B4714" s="225"/>
      <c r="C4714" s="52" t="s">
        <v>3654</v>
      </c>
      <c r="D4714" s="36"/>
      <c r="E4714" s="37"/>
      <c r="F4714" s="31"/>
      <c r="G4714" s="34"/>
      <c r="H4714" s="35"/>
      <c r="I4714" s="31"/>
      <c r="J4714" s="156">
        <v>0</v>
      </c>
    </row>
    <row r="4715" spans="1:10" ht="15.75" hidden="1" thickBot="1" x14ac:dyDescent="0.3">
      <c r="A4715" s="222"/>
      <c r="B4715" s="225"/>
      <c r="C4715" s="52" t="s">
        <v>3648</v>
      </c>
      <c r="D4715" s="36"/>
      <c r="E4715" s="37"/>
      <c r="F4715" s="31"/>
      <c r="G4715" s="34"/>
      <c r="H4715" s="35"/>
      <c r="I4715" s="31"/>
      <c r="J4715" s="156">
        <v>0</v>
      </c>
    </row>
    <row r="4716" spans="1:10" ht="15.75" hidden="1" thickBot="1" x14ac:dyDescent="0.3">
      <c r="A4716" s="223"/>
      <c r="B4716" s="226"/>
      <c r="C4716" s="36"/>
      <c r="D4716" s="36"/>
      <c r="E4716" s="37"/>
      <c r="F4716" s="31" t="s">
        <v>572</v>
      </c>
      <c r="G4716" s="34" t="str">
        <f>IF(ISNUMBER(F4716),E4716*F4716,"")</f>
        <v/>
      </c>
      <c r="H4716" s="35"/>
      <c r="I4716" s="31"/>
      <c r="J4716" s="156">
        <v>0</v>
      </c>
    </row>
    <row r="4717" spans="1:10" ht="15.75" hidden="1" thickBot="1" x14ac:dyDescent="0.3">
      <c r="A4717" s="221" t="s">
        <v>3505</v>
      </c>
      <c r="B4717" s="224" t="str">
        <f>INDEX(Orçamentária!A:B,MATCH(Composições!A4717,Orçamentária!A:A,0),2)</f>
        <v>Perfil em alumínio, tipo U - 10,5 x 20mm - para box de vidro temperado 8mm</v>
      </c>
      <c r="C4717" s="41"/>
      <c r="D4717" s="26" t="str">
        <f>TRIM(INDEX(Orçamentária!C:C,MATCH(Composições!A4717,Orçamentária!A:A,0),1))</f>
        <v>m</v>
      </c>
      <c r="E4717" s="27"/>
      <c r="F4717" s="42" t="s">
        <v>572</v>
      </c>
      <c r="G4717" s="28" t="str">
        <f>IF(ISNUMBER(F4717),E4717*F4717,"")</f>
        <v/>
      </c>
      <c r="H4717" s="29"/>
      <c r="I4717" s="30"/>
      <c r="J4717" s="156">
        <v>0</v>
      </c>
    </row>
    <row r="4718" spans="1:10" ht="15.75" hidden="1" thickBot="1" x14ac:dyDescent="0.3">
      <c r="A4718" s="222"/>
      <c r="B4718" s="225"/>
      <c r="C4718" s="32"/>
      <c r="D4718" s="32"/>
      <c r="E4718" s="33"/>
      <c r="F4718" s="43" t="s">
        <v>572</v>
      </c>
      <c r="G4718" s="34" t="str">
        <f>IF(ISNUMBER(F4718),E4718*F4718,"")</f>
        <v/>
      </c>
      <c r="H4718" s="35"/>
      <c r="I4718" s="31"/>
      <c r="J4718" s="156">
        <v>0</v>
      </c>
    </row>
    <row r="4719" spans="1:10" ht="15.75" hidden="1" thickBot="1" x14ac:dyDescent="0.3">
      <c r="A4719" s="222"/>
      <c r="B4719" s="225"/>
      <c r="C4719" s="36" t="s">
        <v>68</v>
      </c>
      <c r="D4719" s="36" t="s">
        <v>12</v>
      </c>
      <c r="E4719" s="37">
        <v>0.2</v>
      </c>
      <c r="F4719" s="34">
        <v>20.539000000000001</v>
      </c>
      <c r="G4719" s="34">
        <f>IF(ISNUMBER(F4719),E4719*F4719,"")</f>
        <v>4.1078000000000001</v>
      </c>
      <c r="H4719" s="39">
        <f>SUM(G4719:G4720)</f>
        <v>7.9012925000000003</v>
      </c>
      <c r="I4719" s="40"/>
      <c r="J4719" s="156">
        <v>0</v>
      </c>
    </row>
    <row r="4720" spans="1:10" ht="15.75" hidden="1" thickBot="1" x14ac:dyDescent="0.3">
      <c r="A4720" s="222"/>
      <c r="B4720" s="225"/>
      <c r="C4720" s="36" t="s">
        <v>893</v>
      </c>
      <c r="D4720" s="36" t="s">
        <v>42</v>
      </c>
      <c r="E4720" s="37">
        <v>0.105</v>
      </c>
      <c r="F4720" s="31">
        <v>36.128500000000003</v>
      </c>
      <c r="G4720" s="34">
        <f>IF(ISNUMBER(F4720),E4720*F4720,"")</f>
        <v>3.7934925000000002</v>
      </c>
      <c r="H4720" s="35"/>
      <c r="I4720" s="31"/>
      <c r="J4720" s="156">
        <v>0</v>
      </c>
    </row>
    <row r="4721" spans="1:10" ht="15.75" hidden="1" thickBot="1" x14ac:dyDescent="0.3">
      <c r="A4721" s="222"/>
      <c r="B4721" s="225"/>
      <c r="C4721" s="36"/>
      <c r="D4721" s="36"/>
      <c r="E4721" s="37"/>
      <c r="F4721" s="31"/>
      <c r="G4721" s="34"/>
      <c r="H4721" s="35"/>
      <c r="I4721" s="31"/>
      <c r="J4721" s="156">
        <v>0</v>
      </c>
    </row>
    <row r="4722" spans="1:10" ht="15.75" hidden="1" thickBot="1" x14ac:dyDescent="0.3">
      <c r="A4722" s="222"/>
      <c r="B4722" s="225"/>
      <c r="C4722" s="52" t="s">
        <v>3655</v>
      </c>
      <c r="D4722" s="36"/>
      <c r="E4722" s="37"/>
      <c r="F4722" s="31"/>
      <c r="G4722" s="34"/>
      <c r="H4722" s="35"/>
      <c r="I4722" s="31"/>
      <c r="J4722" s="156">
        <v>0</v>
      </c>
    </row>
    <row r="4723" spans="1:10" ht="15.75" hidden="1" thickBot="1" x14ac:dyDescent="0.3">
      <c r="A4723" s="222"/>
      <c r="B4723" s="225"/>
      <c r="C4723" s="52" t="s">
        <v>3648</v>
      </c>
      <c r="D4723" s="36"/>
      <c r="E4723" s="37"/>
      <c r="F4723" s="31"/>
      <c r="G4723" s="34"/>
      <c r="H4723" s="35"/>
      <c r="I4723" s="31"/>
      <c r="J4723" s="156">
        <v>0</v>
      </c>
    </row>
    <row r="4724" spans="1:10" ht="15.75" hidden="1" thickBot="1" x14ac:dyDescent="0.3">
      <c r="A4724" s="223"/>
      <c r="B4724" s="226"/>
      <c r="C4724" s="36"/>
      <c r="D4724" s="36"/>
      <c r="E4724" s="37"/>
      <c r="F4724" s="31" t="s">
        <v>572</v>
      </c>
      <c r="G4724" s="34" t="str">
        <f>IF(ISNUMBER(F4724),E4724*F4724,"")</f>
        <v/>
      </c>
      <c r="H4724" s="35"/>
      <c r="I4724" s="31"/>
      <c r="J4724" s="156">
        <v>0</v>
      </c>
    </row>
    <row r="4725" spans="1:10" ht="15.75" hidden="1" thickBot="1" x14ac:dyDescent="0.3">
      <c r="A4725" s="221" t="s">
        <v>3506</v>
      </c>
      <c r="B4725" s="224" t="str">
        <f>INDEX(Orçamentária!A:B,MATCH(Composições!A4725,Orçamentária!A:A,0),2)</f>
        <v>Perfil em alumínio , tipo U –  14 x 20mm - para box de vidro temperado 8mm</v>
      </c>
      <c r="C4725" s="41"/>
      <c r="D4725" s="26" t="str">
        <f>TRIM(INDEX(Orçamentária!C:C,MATCH(Composições!A4725,Orçamentária!A:A,0),1))</f>
        <v>m</v>
      </c>
      <c r="E4725" s="27"/>
      <c r="F4725" s="42" t="s">
        <v>572</v>
      </c>
      <c r="G4725" s="28" t="str">
        <f>IF(ISNUMBER(F4725),E4725*F4725,"")</f>
        <v/>
      </c>
      <c r="H4725" s="29"/>
      <c r="I4725" s="30"/>
      <c r="J4725" s="156">
        <v>0</v>
      </c>
    </row>
    <row r="4726" spans="1:10" ht="15.75" hidden="1" thickBot="1" x14ac:dyDescent="0.3">
      <c r="A4726" s="222"/>
      <c r="B4726" s="225"/>
      <c r="C4726" s="32"/>
      <c r="D4726" s="32"/>
      <c r="E4726" s="33"/>
      <c r="F4726" s="43" t="s">
        <v>572</v>
      </c>
      <c r="G4726" s="34" t="str">
        <f>IF(ISNUMBER(F4726),E4726*F4726,"")</f>
        <v/>
      </c>
      <c r="H4726" s="35"/>
      <c r="I4726" s="31"/>
      <c r="J4726" s="156">
        <v>0</v>
      </c>
    </row>
    <row r="4727" spans="1:10" ht="15.75" hidden="1" thickBot="1" x14ac:dyDescent="0.3">
      <c r="A4727" s="222"/>
      <c r="B4727" s="225"/>
      <c r="C4727" s="36" t="s">
        <v>68</v>
      </c>
      <c r="D4727" s="36" t="s">
        <v>12</v>
      </c>
      <c r="E4727" s="37">
        <v>0.2</v>
      </c>
      <c r="F4727" s="34">
        <v>20.539000000000001</v>
      </c>
      <c r="G4727" s="34">
        <f>IF(ISNUMBER(F4727),E4727*F4727,"")</f>
        <v>4.1078000000000001</v>
      </c>
      <c r="H4727" s="39">
        <f>SUM(G4727:G4728)</f>
        <v>8.4070914999999999</v>
      </c>
      <c r="I4727" s="40"/>
      <c r="J4727" s="156">
        <v>0</v>
      </c>
    </row>
    <row r="4728" spans="1:10" ht="15.75" hidden="1" thickBot="1" x14ac:dyDescent="0.3">
      <c r="A4728" s="222"/>
      <c r="B4728" s="225"/>
      <c r="C4728" s="36" t="s">
        <v>893</v>
      </c>
      <c r="D4728" s="36" t="s">
        <v>42</v>
      </c>
      <c r="E4728" s="37">
        <v>0.11899999999999999</v>
      </c>
      <c r="F4728" s="31">
        <v>36.128500000000003</v>
      </c>
      <c r="G4728" s="34">
        <f>IF(ISNUMBER(F4728),E4728*F4728,"")</f>
        <v>4.2992914999999998</v>
      </c>
      <c r="H4728" s="35"/>
      <c r="I4728" s="31"/>
      <c r="J4728" s="156">
        <v>0</v>
      </c>
    </row>
    <row r="4729" spans="1:10" ht="15.75" hidden="1" thickBot="1" x14ac:dyDescent="0.3">
      <c r="A4729" s="222"/>
      <c r="B4729" s="225"/>
      <c r="C4729" s="36"/>
      <c r="D4729" s="36"/>
      <c r="E4729" s="37"/>
      <c r="F4729" s="31"/>
      <c r="G4729" s="34"/>
      <c r="H4729" s="35"/>
      <c r="I4729" s="31"/>
      <c r="J4729" s="156">
        <v>0</v>
      </c>
    </row>
    <row r="4730" spans="1:10" ht="15.75" hidden="1" thickBot="1" x14ac:dyDescent="0.3">
      <c r="A4730" s="222"/>
      <c r="B4730" s="225"/>
      <c r="C4730" s="52" t="s">
        <v>3656</v>
      </c>
      <c r="D4730" s="36"/>
      <c r="E4730" s="37"/>
      <c r="F4730" s="31"/>
      <c r="G4730" s="34"/>
      <c r="H4730" s="35"/>
      <c r="I4730" s="31"/>
      <c r="J4730" s="156">
        <v>0</v>
      </c>
    </row>
    <row r="4731" spans="1:10" ht="15.75" hidden="1" thickBot="1" x14ac:dyDescent="0.3">
      <c r="A4731" s="222"/>
      <c r="B4731" s="225"/>
      <c r="C4731" s="52" t="s">
        <v>3648</v>
      </c>
      <c r="D4731" s="36"/>
      <c r="E4731" s="37"/>
      <c r="F4731" s="31"/>
      <c r="G4731" s="34"/>
      <c r="H4731" s="35"/>
      <c r="I4731" s="31"/>
      <c r="J4731" s="156">
        <v>0</v>
      </c>
    </row>
    <row r="4732" spans="1:10" ht="15.75" hidden="1" thickBot="1" x14ac:dyDescent="0.3">
      <c r="A4732" s="223"/>
      <c r="B4732" s="226"/>
      <c r="C4732" s="36"/>
      <c r="D4732" s="36"/>
      <c r="E4732" s="37"/>
      <c r="F4732" s="31" t="s">
        <v>572</v>
      </c>
      <c r="G4732" s="34" t="str">
        <f t="shared" ref="G4732:G4795" si="82">IF(ISNUMBER(F4732),E4732*F4732,"")</f>
        <v/>
      </c>
      <c r="H4732" s="35"/>
      <c r="I4732" s="31"/>
      <c r="J4732" s="156">
        <v>0</v>
      </c>
    </row>
    <row r="4733" spans="1:10" ht="15.75" hidden="1" thickBot="1" x14ac:dyDescent="0.3">
      <c r="A4733" s="221" t="s">
        <v>3507</v>
      </c>
      <c r="B4733" s="224" t="str">
        <f>INDEX(Orçamentária!A:B,MATCH(Composições!A4733,Orçamentária!A:A,0),2)</f>
        <v>Bacia convencional – Linha Residencial</v>
      </c>
      <c r="C4733" s="41"/>
      <c r="D4733" s="26" t="str">
        <f>TRIM(INDEX(Orçamentária!C:C,MATCH(Composições!A4733,Orçamentária!A:A,0),1))</f>
        <v>un</v>
      </c>
      <c r="E4733" s="27"/>
      <c r="F4733" s="42" t="s">
        <v>572</v>
      </c>
      <c r="G4733" s="28" t="str">
        <f t="shared" si="82"/>
        <v/>
      </c>
      <c r="H4733" s="29"/>
      <c r="I4733" s="30"/>
      <c r="J4733" s="156">
        <v>0</v>
      </c>
    </row>
    <row r="4734" spans="1:10" ht="15.75" hidden="1" thickBot="1" x14ac:dyDescent="0.3">
      <c r="A4734" s="222"/>
      <c r="B4734" s="225"/>
      <c r="C4734" s="32"/>
      <c r="D4734" s="32"/>
      <c r="E4734" s="33"/>
      <c r="F4734" s="43" t="s">
        <v>572</v>
      </c>
      <c r="G4734" s="31" t="str">
        <f t="shared" si="82"/>
        <v/>
      </c>
      <c r="H4734" s="35"/>
      <c r="I4734" s="31"/>
      <c r="J4734" s="156">
        <v>0</v>
      </c>
    </row>
    <row r="4735" spans="1:10" ht="26.25" hidden="1" thickBot="1" x14ac:dyDescent="0.3">
      <c r="A4735" s="222"/>
      <c r="B4735" s="225"/>
      <c r="C4735" s="36" t="s">
        <v>3661</v>
      </c>
      <c r="D4735" s="47" t="s">
        <v>299</v>
      </c>
      <c r="E4735" s="37">
        <v>1</v>
      </c>
      <c r="F4735" s="34" t="s">
        <v>572</v>
      </c>
      <c r="G4735" s="34" t="str">
        <f t="shared" si="82"/>
        <v/>
      </c>
      <c r="H4735" s="39">
        <f>SUM(G4735:G4741)</f>
        <v>45.752805599999988</v>
      </c>
      <c r="I4735" s="40"/>
      <c r="J4735" s="156">
        <v>0</v>
      </c>
    </row>
    <row r="4736" spans="1:10" ht="26.25" hidden="1" thickBot="1" x14ac:dyDescent="0.3">
      <c r="A4736" s="222"/>
      <c r="B4736" s="225"/>
      <c r="C4736" s="36" t="s">
        <v>328</v>
      </c>
      <c r="D4736" s="36" t="s">
        <v>20</v>
      </c>
      <c r="E4736" s="37">
        <v>1</v>
      </c>
      <c r="F4736" s="34" t="s">
        <v>572</v>
      </c>
      <c r="G4736" s="34" t="str">
        <f t="shared" si="82"/>
        <v/>
      </c>
      <c r="H4736" s="35"/>
      <c r="I4736" s="31"/>
      <c r="J4736" s="156">
        <v>0</v>
      </c>
    </row>
    <row r="4737" spans="1:10" ht="26.25" hidden="1" thickBot="1" x14ac:dyDescent="0.3">
      <c r="A4737" s="222"/>
      <c r="B4737" s="225"/>
      <c r="C4737" s="36" t="s">
        <v>367</v>
      </c>
      <c r="D4737" s="47" t="s">
        <v>299</v>
      </c>
      <c r="E4737" s="37">
        <v>2</v>
      </c>
      <c r="F4737" s="34">
        <v>10.953499999999998</v>
      </c>
      <c r="G4737" s="34">
        <f t="shared" si="82"/>
        <v>21.906999999999996</v>
      </c>
      <c r="H4737" s="35"/>
      <c r="I4737" s="31"/>
      <c r="J4737" s="156">
        <v>0</v>
      </c>
    </row>
    <row r="4738" spans="1:10" ht="15.75" hidden="1" thickBot="1" x14ac:dyDescent="0.3">
      <c r="A4738" s="222"/>
      <c r="B4738" s="225"/>
      <c r="C4738" s="36" t="s">
        <v>327</v>
      </c>
      <c r="D4738" s="47" t="s">
        <v>20</v>
      </c>
      <c r="E4738" s="37">
        <v>1</v>
      </c>
      <c r="F4738" s="34">
        <v>2.7454999999999998</v>
      </c>
      <c r="G4738" s="54">
        <f t="shared" si="82"/>
        <v>2.7454999999999998</v>
      </c>
      <c r="H4738" s="35"/>
      <c r="I4738" s="31"/>
      <c r="J4738" s="156">
        <v>0</v>
      </c>
    </row>
    <row r="4739" spans="1:10" ht="15.75" hidden="1" thickBot="1" x14ac:dyDescent="0.3">
      <c r="A4739" s="222"/>
      <c r="B4739" s="225"/>
      <c r="C4739" s="36" t="s">
        <v>3625</v>
      </c>
      <c r="D4739" s="47" t="s">
        <v>42</v>
      </c>
      <c r="E4739" s="37">
        <v>8.8099999999999998E-2</v>
      </c>
      <c r="F4739" s="34">
        <v>52.8675</v>
      </c>
      <c r="G4739" s="34">
        <f t="shared" si="82"/>
        <v>4.6576267499999995</v>
      </c>
      <c r="H4739" s="35"/>
      <c r="I4739" s="31"/>
      <c r="J4739" s="156">
        <v>0</v>
      </c>
    </row>
    <row r="4740" spans="1:10" ht="15.75" hidden="1" thickBot="1" x14ac:dyDescent="0.3">
      <c r="A4740" s="222"/>
      <c r="B4740" s="225"/>
      <c r="C4740" s="36" t="s">
        <v>39</v>
      </c>
      <c r="D4740" s="47" t="s">
        <v>12</v>
      </c>
      <c r="E4740" s="37">
        <v>0.49680000000000002</v>
      </c>
      <c r="F4740" s="31">
        <v>21.622</v>
      </c>
      <c r="G4740" s="34">
        <f t="shared" si="82"/>
        <v>10.7418096</v>
      </c>
      <c r="H4740" s="35"/>
      <c r="I4740" s="31"/>
      <c r="J4740" s="156">
        <v>0</v>
      </c>
    </row>
    <row r="4741" spans="1:10" ht="15.75" hidden="1" thickBot="1" x14ac:dyDescent="0.3">
      <c r="A4741" s="222"/>
      <c r="B4741" s="225"/>
      <c r="C4741" s="36" t="s">
        <v>23</v>
      </c>
      <c r="D4741" s="47" t="s">
        <v>12</v>
      </c>
      <c r="E4741" s="37">
        <v>0.34949999999999998</v>
      </c>
      <c r="F4741" s="31">
        <v>16.311500000000002</v>
      </c>
      <c r="G4741" s="34">
        <f t="shared" si="82"/>
        <v>5.7008692500000002</v>
      </c>
      <c r="H4741" s="35"/>
      <c r="I4741" s="31"/>
      <c r="J4741" s="156">
        <v>0</v>
      </c>
    </row>
    <row r="4742" spans="1:10" ht="15.75" hidden="1" thickBot="1" x14ac:dyDescent="0.3">
      <c r="A4742" s="223"/>
      <c r="B4742" s="226"/>
      <c r="C4742" s="36"/>
      <c r="D4742" s="36"/>
      <c r="E4742" s="37"/>
      <c r="F4742" s="31" t="s">
        <v>572</v>
      </c>
      <c r="G4742" s="31" t="str">
        <f t="shared" si="82"/>
        <v/>
      </c>
      <c r="H4742" s="35"/>
      <c r="I4742" s="31"/>
      <c r="J4742" s="156">
        <v>0</v>
      </c>
    </row>
    <row r="4743" spans="1:10" ht="15.75" hidden="1" thickBot="1" x14ac:dyDescent="0.3">
      <c r="A4743" s="221" t="s">
        <v>3508</v>
      </c>
      <c r="B4743" s="224" t="str">
        <f>INDEX(Orçamentária!A:B,MATCH(Composições!A4743,Orçamentária!A:A,0),2)</f>
        <v>Bidê 3 furos - Linha Residencial</v>
      </c>
      <c r="C4743" s="41"/>
      <c r="D4743" s="26" t="str">
        <f>TRIM(INDEX(Orçamentária!C:C,MATCH(Composições!A4743,Orçamentária!A:A,0),1))</f>
        <v>un</v>
      </c>
      <c r="E4743" s="27"/>
      <c r="F4743" s="42" t="s">
        <v>572</v>
      </c>
      <c r="G4743" s="28" t="str">
        <f t="shared" si="82"/>
        <v/>
      </c>
      <c r="H4743" s="29"/>
      <c r="I4743" s="30"/>
      <c r="J4743" s="156">
        <v>0</v>
      </c>
    </row>
    <row r="4744" spans="1:10" ht="15.75" hidden="1" thickBot="1" x14ac:dyDescent="0.3">
      <c r="A4744" s="222"/>
      <c r="B4744" s="225"/>
      <c r="C4744" s="32"/>
      <c r="D4744" s="32"/>
      <c r="E4744" s="33"/>
      <c r="F4744" s="43" t="s">
        <v>572</v>
      </c>
      <c r="G4744" s="31" t="str">
        <f t="shared" si="82"/>
        <v/>
      </c>
      <c r="H4744" s="35"/>
      <c r="I4744" s="31"/>
      <c r="J4744" s="156">
        <v>0</v>
      </c>
    </row>
    <row r="4745" spans="1:10" ht="15.75" hidden="1" thickBot="1" x14ac:dyDescent="0.3">
      <c r="A4745" s="222"/>
      <c r="B4745" s="225"/>
      <c r="C4745" s="36" t="s">
        <v>3659</v>
      </c>
      <c r="D4745" s="47" t="s">
        <v>299</v>
      </c>
      <c r="E4745" s="37">
        <v>1</v>
      </c>
      <c r="F4745" s="34" t="s">
        <v>572</v>
      </c>
      <c r="G4745" s="34" t="str">
        <f t="shared" si="82"/>
        <v/>
      </c>
      <c r="H4745" s="39">
        <f>SUM(G4745:G4749)</f>
        <v>43.007305599999995</v>
      </c>
      <c r="I4745" s="40"/>
      <c r="J4745" s="156">
        <v>0</v>
      </c>
    </row>
    <row r="4746" spans="1:10" ht="26.25" hidden="1" thickBot="1" x14ac:dyDescent="0.3">
      <c r="A4746" s="222"/>
      <c r="B4746" s="225"/>
      <c r="C4746" s="36" t="s">
        <v>367</v>
      </c>
      <c r="D4746" s="47" t="s">
        <v>299</v>
      </c>
      <c r="E4746" s="37">
        <v>2</v>
      </c>
      <c r="F4746" s="34">
        <v>10.953499999999998</v>
      </c>
      <c r="G4746" s="34">
        <f t="shared" si="82"/>
        <v>21.906999999999996</v>
      </c>
      <c r="H4746" s="35"/>
      <c r="I4746" s="31"/>
      <c r="J4746" s="156">
        <v>0</v>
      </c>
    </row>
    <row r="4747" spans="1:10" ht="15.75" hidden="1" thickBot="1" x14ac:dyDescent="0.3">
      <c r="A4747" s="222"/>
      <c r="B4747" s="225"/>
      <c r="C4747" s="36" t="s">
        <v>3625</v>
      </c>
      <c r="D4747" s="47" t="s">
        <v>42</v>
      </c>
      <c r="E4747" s="37">
        <v>8.8099999999999998E-2</v>
      </c>
      <c r="F4747" s="34">
        <v>52.8675</v>
      </c>
      <c r="G4747" s="34">
        <f t="shared" si="82"/>
        <v>4.6576267499999995</v>
      </c>
      <c r="H4747" s="35"/>
      <c r="I4747" s="31"/>
      <c r="J4747" s="156">
        <v>0</v>
      </c>
    </row>
    <row r="4748" spans="1:10" ht="15.75" hidden="1" thickBot="1" x14ac:dyDescent="0.3">
      <c r="A4748" s="222"/>
      <c r="B4748" s="225"/>
      <c r="C4748" s="36" t="s">
        <v>39</v>
      </c>
      <c r="D4748" s="47" t="s">
        <v>12</v>
      </c>
      <c r="E4748" s="37">
        <v>0.49680000000000002</v>
      </c>
      <c r="F4748" s="31">
        <v>21.622</v>
      </c>
      <c r="G4748" s="34">
        <f t="shared" si="82"/>
        <v>10.7418096</v>
      </c>
      <c r="H4748" s="35"/>
      <c r="I4748" s="31"/>
      <c r="J4748" s="156">
        <v>0</v>
      </c>
    </row>
    <row r="4749" spans="1:10" ht="15.75" hidden="1" thickBot="1" x14ac:dyDescent="0.3">
      <c r="A4749" s="222"/>
      <c r="B4749" s="225"/>
      <c r="C4749" s="36" t="s">
        <v>23</v>
      </c>
      <c r="D4749" s="47" t="s">
        <v>12</v>
      </c>
      <c r="E4749" s="37">
        <v>0.34949999999999998</v>
      </c>
      <c r="F4749" s="31">
        <v>16.311500000000002</v>
      </c>
      <c r="G4749" s="34">
        <f t="shared" si="82"/>
        <v>5.7008692500000002</v>
      </c>
      <c r="H4749" s="35"/>
      <c r="I4749" s="31"/>
      <c r="J4749" s="156">
        <v>0</v>
      </c>
    </row>
    <row r="4750" spans="1:10" ht="15.75" hidden="1" thickBot="1" x14ac:dyDescent="0.3">
      <c r="A4750" s="223"/>
      <c r="B4750" s="226"/>
      <c r="C4750" s="36"/>
      <c r="D4750" s="36"/>
      <c r="E4750" s="37"/>
      <c r="F4750" s="31" t="s">
        <v>572</v>
      </c>
      <c r="G4750" s="31" t="str">
        <f t="shared" si="82"/>
        <v/>
      </c>
      <c r="H4750" s="35"/>
      <c r="I4750" s="31"/>
      <c r="J4750" s="156">
        <v>0</v>
      </c>
    </row>
    <row r="4751" spans="1:10" ht="15.75" hidden="1" thickBot="1" x14ac:dyDescent="0.3">
      <c r="A4751" s="221" t="s">
        <v>3511</v>
      </c>
      <c r="B4751" s="224" t="str">
        <f>INDEX(Orçamentária!A:B,MATCH(Composições!A4751,Orçamentária!A:A,0),2)</f>
        <v>Chuveiro de metal com tubo de parede – Linha Residencial</v>
      </c>
      <c r="C4751" s="41"/>
      <c r="D4751" s="26" t="str">
        <f>TRIM(INDEX(Orçamentária!C:C,MATCH(Composições!A4751,Orçamentária!A:A,0),1))</f>
        <v>un</v>
      </c>
      <c r="E4751" s="27"/>
      <c r="F4751" s="49" t="s">
        <v>572</v>
      </c>
      <c r="G4751" s="28" t="str">
        <f t="shared" si="82"/>
        <v/>
      </c>
      <c r="H4751" s="29"/>
      <c r="I4751" s="30"/>
      <c r="J4751" s="156">
        <v>0</v>
      </c>
    </row>
    <row r="4752" spans="1:10" ht="15.75" hidden="1" thickBot="1" x14ac:dyDescent="0.3">
      <c r="A4752" s="227"/>
      <c r="B4752" s="225"/>
      <c r="C4752" s="32"/>
      <c r="D4752" s="32"/>
      <c r="E4752" s="33"/>
      <c r="F4752" s="54" t="s">
        <v>572</v>
      </c>
      <c r="G4752" s="54" t="str">
        <f t="shared" si="82"/>
        <v/>
      </c>
      <c r="H4752" s="73"/>
      <c r="I4752" s="74"/>
      <c r="J4752" s="156">
        <v>0</v>
      </c>
    </row>
    <row r="4753" spans="1:10" ht="26.25" hidden="1" thickBot="1" x14ac:dyDescent="0.3">
      <c r="A4753" s="227"/>
      <c r="B4753" s="225"/>
      <c r="C4753" s="36" t="s">
        <v>3660</v>
      </c>
      <c r="D4753" s="36" t="s">
        <v>299</v>
      </c>
      <c r="E4753" s="37">
        <v>1</v>
      </c>
      <c r="F4753" s="54" t="s">
        <v>572</v>
      </c>
      <c r="G4753" s="54" t="str">
        <f t="shared" si="82"/>
        <v/>
      </c>
      <c r="H4753" s="39">
        <f>SUM(G4753:G4756)</f>
        <v>12.03138045</v>
      </c>
      <c r="I4753" s="40"/>
      <c r="J4753" s="156">
        <v>0</v>
      </c>
    </row>
    <row r="4754" spans="1:10" ht="15.75" hidden="1" thickBot="1" x14ac:dyDescent="0.3">
      <c r="A4754" s="227"/>
      <c r="B4754" s="225"/>
      <c r="C4754" s="36" t="s">
        <v>1129</v>
      </c>
      <c r="D4754" s="36" t="s">
        <v>299</v>
      </c>
      <c r="E4754" s="37">
        <v>2.1000000000000001E-2</v>
      </c>
      <c r="F4754" s="54">
        <v>3.7049999999999996</v>
      </c>
      <c r="G4754" s="54">
        <f t="shared" si="82"/>
        <v>7.7804999999999999E-2</v>
      </c>
      <c r="H4754" s="73"/>
      <c r="I4754" s="74"/>
      <c r="J4754" s="156">
        <v>0</v>
      </c>
    </row>
    <row r="4755" spans="1:10" ht="26.25" hidden="1" thickBot="1" x14ac:dyDescent="0.3">
      <c r="A4755" s="227"/>
      <c r="B4755" s="225"/>
      <c r="C4755" s="36" t="s">
        <v>1013</v>
      </c>
      <c r="D4755" s="36" t="s">
        <v>759</v>
      </c>
      <c r="E4755" s="37">
        <v>0.44669999999999999</v>
      </c>
      <c r="F4755" s="54">
        <v>21.622</v>
      </c>
      <c r="G4755" s="54">
        <f t="shared" si="82"/>
        <v>9.6585473999999998</v>
      </c>
      <c r="H4755" s="73"/>
      <c r="I4755" s="74"/>
      <c r="J4755" s="156">
        <v>0</v>
      </c>
    </row>
    <row r="4756" spans="1:10" ht="15.75" hidden="1" thickBot="1" x14ac:dyDescent="0.3">
      <c r="A4756" s="227"/>
      <c r="B4756" s="225"/>
      <c r="C4756" s="36" t="s">
        <v>760</v>
      </c>
      <c r="D4756" s="36" t="s">
        <v>759</v>
      </c>
      <c r="E4756" s="37">
        <v>0.14069999999999999</v>
      </c>
      <c r="F4756" s="54">
        <v>16.311500000000002</v>
      </c>
      <c r="G4756" s="54">
        <f t="shared" si="82"/>
        <v>2.29502805</v>
      </c>
      <c r="H4756" s="73"/>
      <c r="I4756" s="74"/>
      <c r="J4756" s="156">
        <v>0</v>
      </c>
    </row>
    <row r="4757" spans="1:10" ht="15.75" hidden="1" thickBot="1" x14ac:dyDescent="0.3">
      <c r="A4757" s="228"/>
      <c r="B4757" s="226"/>
      <c r="C4757" s="36"/>
      <c r="D4757" s="36"/>
      <c r="E4757" s="37"/>
      <c r="F4757" s="54" t="s">
        <v>572</v>
      </c>
      <c r="G4757" s="54" t="str">
        <f t="shared" si="82"/>
        <v/>
      </c>
      <c r="H4757" s="73"/>
      <c r="I4757" s="74"/>
      <c r="J4757" s="156">
        <v>0</v>
      </c>
    </row>
    <row r="4758" spans="1:10" ht="15.75" hidden="1" thickBot="1" x14ac:dyDescent="0.3">
      <c r="A4758" s="221" t="s">
        <v>3512</v>
      </c>
      <c r="B4758" s="224" t="str">
        <f>INDEX(Orçamentária!A:B,MATCH(Composições!A4758,Orçamentária!A:A,0),2)</f>
        <v>Misturador para bidê – Linha Residencial</v>
      </c>
      <c r="C4758" s="41"/>
      <c r="D4758" s="26" t="str">
        <f>TRIM(INDEX(Orçamentária!C:C,MATCH(Composições!A4758,Orçamentária!A:A,0),1))</f>
        <v>un</v>
      </c>
      <c r="E4758" s="27"/>
      <c r="F4758" s="49" t="s">
        <v>572</v>
      </c>
      <c r="G4758" s="28" t="str">
        <f t="shared" si="82"/>
        <v/>
      </c>
      <c r="H4758" s="29"/>
      <c r="I4758" s="30"/>
      <c r="J4758" s="156">
        <v>0</v>
      </c>
    </row>
    <row r="4759" spans="1:10" ht="15.75" hidden="1" thickBot="1" x14ac:dyDescent="0.3">
      <c r="A4759" s="227"/>
      <c r="B4759" s="225"/>
      <c r="C4759" s="32"/>
      <c r="D4759" s="32"/>
      <c r="E4759" s="33"/>
      <c r="F4759" s="54" t="s">
        <v>572</v>
      </c>
      <c r="G4759" s="54" t="str">
        <f t="shared" si="82"/>
        <v/>
      </c>
      <c r="H4759" s="73"/>
      <c r="I4759" s="74"/>
      <c r="J4759" s="156">
        <v>0</v>
      </c>
    </row>
    <row r="4760" spans="1:10" ht="15.75" hidden="1" thickBot="1" x14ac:dyDescent="0.3">
      <c r="A4760" s="227"/>
      <c r="B4760" s="225"/>
      <c r="C4760" s="36" t="s">
        <v>1129</v>
      </c>
      <c r="D4760" s="36" t="s">
        <v>299</v>
      </c>
      <c r="E4760" s="37">
        <v>4.2000000000000003E-2</v>
      </c>
      <c r="F4760" s="54">
        <v>3.7049999999999996</v>
      </c>
      <c r="G4760" s="54">
        <f t="shared" si="82"/>
        <v>0.15561</v>
      </c>
      <c r="H4760" s="39">
        <f>SUM(G4760:G4763)</f>
        <v>12.5545616</v>
      </c>
      <c r="I4760" s="40"/>
      <c r="J4760" s="156">
        <v>0</v>
      </c>
    </row>
    <row r="4761" spans="1:10" ht="15.75" hidden="1" thickBot="1" x14ac:dyDescent="0.3">
      <c r="A4761" s="227"/>
      <c r="B4761" s="225"/>
      <c r="C4761" s="36" t="s">
        <v>3658</v>
      </c>
      <c r="D4761" s="36" t="s">
        <v>299</v>
      </c>
      <c r="E4761" s="37">
        <v>1</v>
      </c>
      <c r="F4761" s="54" t="s">
        <v>572</v>
      </c>
      <c r="G4761" s="54" t="str">
        <f t="shared" si="82"/>
        <v/>
      </c>
      <c r="H4761" s="73"/>
      <c r="I4761" s="74"/>
      <c r="J4761" s="156">
        <v>0</v>
      </c>
    </row>
    <row r="4762" spans="1:10" ht="26.25" hidden="1" thickBot="1" x14ac:dyDescent="0.3">
      <c r="A4762" s="227"/>
      <c r="B4762" s="225"/>
      <c r="C4762" s="36" t="s">
        <v>1013</v>
      </c>
      <c r="D4762" s="36" t="s">
        <v>759</v>
      </c>
      <c r="E4762" s="37">
        <v>0.46329999999999999</v>
      </c>
      <c r="F4762" s="54">
        <v>21.622</v>
      </c>
      <c r="G4762" s="54">
        <f t="shared" si="82"/>
        <v>10.0174726</v>
      </c>
      <c r="H4762" s="73"/>
      <c r="I4762" s="74"/>
      <c r="J4762" s="156">
        <v>0</v>
      </c>
    </row>
    <row r="4763" spans="1:10" ht="15.75" hidden="1" thickBot="1" x14ac:dyDescent="0.3">
      <c r="A4763" s="227"/>
      <c r="B4763" s="225"/>
      <c r="C4763" s="36" t="s">
        <v>760</v>
      </c>
      <c r="D4763" s="36" t="s">
        <v>759</v>
      </c>
      <c r="E4763" s="37">
        <v>0.14599999999999999</v>
      </c>
      <c r="F4763" s="54">
        <v>16.311500000000002</v>
      </c>
      <c r="G4763" s="54">
        <f t="shared" si="82"/>
        <v>2.3814790000000001</v>
      </c>
      <c r="H4763" s="73"/>
      <c r="I4763" s="74"/>
      <c r="J4763" s="156">
        <v>0</v>
      </c>
    </row>
    <row r="4764" spans="1:10" ht="15.75" hidden="1" thickBot="1" x14ac:dyDescent="0.3">
      <c r="A4764" s="228"/>
      <c r="B4764" s="226"/>
      <c r="C4764" s="36"/>
      <c r="D4764" s="36"/>
      <c r="E4764" s="37"/>
      <c r="F4764" s="54" t="s">
        <v>572</v>
      </c>
      <c r="G4764" s="54" t="str">
        <f t="shared" si="82"/>
        <v/>
      </c>
      <c r="H4764" s="73"/>
      <c r="I4764" s="74"/>
      <c r="J4764" s="156">
        <v>0</v>
      </c>
    </row>
    <row r="4765" spans="1:10" ht="15.75" hidden="1" thickBot="1" x14ac:dyDescent="0.3">
      <c r="A4765" s="221" t="s">
        <v>3513</v>
      </c>
      <c r="B4765" s="224" t="str">
        <f>INDEX(Orçamentária!A:B,MATCH(Composições!A4765,Orçamentária!A:A,0),2)</f>
        <v>Misturador de mesa para cozinha bica móvel – Linha Residencial</v>
      </c>
      <c r="C4765" s="41"/>
      <c r="D4765" s="26" t="str">
        <f>TRIM(INDEX(Orçamentária!C:C,MATCH(Composições!A4765,Orçamentária!A:A,0),1))</f>
        <v>un</v>
      </c>
      <c r="E4765" s="27"/>
      <c r="F4765" s="49" t="s">
        <v>572</v>
      </c>
      <c r="G4765" s="28" t="str">
        <f t="shared" si="82"/>
        <v/>
      </c>
      <c r="H4765" s="29"/>
      <c r="I4765" s="30"/>
      <c r="J4765" s="156">
        <v>0</v>
      </c>
    </row>
    <row r="4766" spans="1:10" ht="15.75" hidden="1" thickBot="1" x14ac:dyDescent="0.3">
      <c r="A4766" s="227"/>
      <c r="B4766" s="225"/>
      <c r="C4766" s="32"/>
      <c r="D4766" s="32"/>
      <c r="E4766" s="33"/>
      <c r="F4766" s="54" t="s">
        <v>572</v>
      </c>
      <c r="G4766" s="54" t="str">
        <f t="shared" si="82"/>
        <v/>
      </c>
      <c r="H4766" s="73"/>
      <c r="I4766" s="74"/>
      <c r="J4766" s="156">
        <v>0</v>
      </c>
    </row>
    <row r="4767" spans="1:10" ht="15.75" hidden="1" thickBot="1" x14ac:dyDescent="0.3">
      <c r="A4767" s="227"/>
      <c r="B4767" s="225"/>
      <c r="C4767" s="36" t="s">
        <v>1129</v>
      </c>
      <c r="D4767" s="36" t="s">
        <v>299</v>
      </c>
      <c r="E4767" s="37">
        <v>4.2000000000000003E-2</v>
      </c>
      <c r="F4767" s="54">
        <v>3.7049999999999996</v>
      </c>
      <c r="G4767" s="54">
        <f t="shared" si="82"/>
        <v>0.15561</v>
      </c>
      <c r="H4767" s="39">
        <f>SUM(G4767:G4770)</f>
        <v>6.2197963000000005</v>
      </c>
      <c r="I4767" s="40"/>
      <c r="J4767" s="156">
        <v>0</v>
      </c>
    </row>
    <row r="4768" spans="1:10" ht="26.25" hidden="1" thickBot="1" x14ac:dyDescent="0.3">
      <c r="A4768" s="227"/>
      <c r="B4768" s="225"/>
      <c r="C4768" s="36" t="s">
        <v>3657</v>
      </c>
      <c r="D4768" s="36" t="s">
        <v>299</v>
      </c>
      <c r="E4768" s="37">
        <v>1</v>
      </c>
      <c r="F4768" s="54" t="s">
        <v>572</v>
      </c>
      <c r="G4768" s="54" t="str">
        <f t="shared" si="82"/>
        <v/>
      </c>
      <c r="H4768" s="73"/>
      <c r="I4768" s="74"/>
      <c r="J4768" s="156">
        <v>0</v>
      </c>
    </row>
    <row r="4769" spans="1:10" ht="26.25" hidden="1" thickBot="1" x14ac:dyDescent="0.3">
      <c r="A4769" s="227"/>
      <c r="B4769" s="225"/>
      <c r="C4769" s="36" t="s">
        <v>1013</v>
      </c>
      <c r="D4769" s="36" t="s">
        <v>759</v>
      </c>
      <c r="E4769" s="37">
        <v>0.2266</v>
      </c>
      <c r="F4769" s="54">
        <v>21.622</v>
      </c>
      <c r="G4769" s="54">
        <f t="shared" si="82"/>
        <v>4.8995451999999995</v>
      </c>
      <c r="H4769" s="73"/>
      <c r="I4769" s="74"/>
      <c r="J4769" s="156">
        <v>0</v>
      </c>
    </row>
    <row r="4770" spans="1:10" ht="15.75" hidden="1" thickBot="1" x14ac:dyDescent="0.3">
      <c r="A4770" s="227"/>
      <c r="B4770" s="225"/>
      <c r="C4770" s="36" t="s">
        <v>760</v>
      </c>
      <c r="D4770" s="36" t="s">
        <v>759</v>
      </c>
      <c r="E4770" s="37">
        <v>7.1400000000000005E-2</v>
      </c>
      <c r="F4770" s="54">
        <v>16.311500000000002</v>
      </c>
      <c r="G4770" s="54">
        <f t="shared" si="82"/>
        <v>1.1646411000000003</v>
      </c>
      <c r="H4770" s="73"/>
      <c r="I4770" s="74"/>
      <c r="J4770" s="156">
        <v>0</v>
      </c>
    </row>
    <row r="4771" spans="1:10" ht="15.75" hidden="1" thickBot="1" x14ac:dyDescent="0.3">
      <c r="A4771" s="228"/>
      <c r="B4771" s="226"/>
      <c r="C4771" s="36"/>
      <c r="D4771" s="36"/>
      <c r="E4771" s="37"/>
      <c r="F4771" s="54" t="s">
        <v>572</v>
      </c>
      <c r="G4771" s="54" t="str">
        <f t="shared" si="82"/>
        <v/>
      </c>
      <c r="H4771" s="73"/>
      <c r="I4771" s="74"/>
      <c r="J4771" s="156">
        <v>0</v>
      </c>
    </row>
    <row r="4772" spans="1:10" ht="15.75" hidden="1" thickBot="1" x14ac:dyDescent="0.3">
      <c r="A4772" s="221" t="s">
        <v>3514</v>
      </c>
      <c r="B4772" s="224" t="str">
        <f>INDEX(Orçamentária!A:B,MATCH(Composições!A4772,Orçamentária!A:A,0),2)</f>
        <v>Misturador de mesa para lavatório bica alta – Linha Residencial</v>
      </c>
      <c r="C4772" s="41"/>
      <c r="D4772" s="26" t="str">
        <f>TRIM(INDEX(Orçamentária!C:C,MATCH(Composições!A4772,Orçamentária!A:A,0),1))</f>
        <v>un</v>
      </c>
      <c r="E4772" s="27"/>
      <c r="F4772" s="49" t="s">
        <v>572</v>
      </c>
      <c r="G4772" s="28" t="str">
        <f t="shared" si="82"/>
        <v/>
      </c>
      <c r="H4772" s="29"/>
      <c r="I4772" s="30"/>
      <c r="J4772" s="156">
        <v>0</v>
      </c>
    </row>
    <row r="4773" spans="1:10" ht="15.75" hidden="1" thickBot="1" x14ac:dyDescent="0.3">
      <c r="A4773" s="227"/>
      <c r="B4773" s="225"/>
      <c r="C4773" s="32"/>
      <c r="D4773" s="32"/>
      <c r="E4773" s="33"/>
      <c r="F4773" s="54" t="s">
        <v>572</v>
      </c>
      <c r="G4773" s="54" t="str">
        <f t="shared" si="82"/>
        <v/>
      </c>
      <c r="H4773" s="73"/>
      <c r="I4773" s="74"/>
      <c r="J4773" s="156">
        <v>0</v>
      </c>
    </row>
    <row r="4774" spans="1:10" ht="15.75" hidden="1" thickBot="1" x14ac:dyDescent="0.3">
      <c r="A4774" s="227"/>
      <c r="B4774" s="225"/>
      <c r="C4774" s="36" t="s">
        <v>1129</v>
      </c>
      <c r="D4774" s="36" t="s">
        <v>299</v>
      </c>
      <c r="E4774" s="37">
        <v>4.2000000000000003E-2</v>
      </c>
      <c r="F4774" s="54">
        <v>3.7049999999999996</v>
      </c>
      <c r="G4774" s="54">
        <f t="shared" si="82"/>
        <v>0.15561</v>
      </c>
      <c r="H4774" s="39">
        <f>SUM(G4774:G4777)</f>
        <v>12.5545616</v>
      </c>
      <c r="I4774" s="40"/>
      <c r="J4774" s="156">
        <v>0</v>
      </c>
    </row>
    <row r="4775" spans="1:10" ht="26.25" hidden="1" thickBot="1" x14ac:dyDescent="0.3">
      <c r="A4775" s="227"/>
      <c r="B4775" s="225"/>
      <c r="C4775" s="36" t="s">
        <v>3662</v>
      </c>
      <c r="D4775" s="36" t="s">
        <v>299</v>
      </c>
      <c r="E4775" s="37">
        <v>1</v>
      </c>
      <c r="F4775" s="54" t="s">
        <v>572</v>
      </c>
      <c r="G4775" s="54" t="str">
        <f t="shared" si="82"/>
        <v/>
      </c>
      <c r="H4775" s="73"/>
      <c r="I4775" s="74"/>
      <c r="J4775" s="156">
        <v>0</v>
      </c>
    </row>
    <row r="4776" spans="1:10" ht="26.25" hidden="1" thickBot="1" x14ac:dyDescent="0.3">
      <c r="A4776" s="227"/>
      <c r="B4776" s="225"/>
      <c r="C4776" s="36" t="s">
        <v>1013</v>
      </c>
      <c r="D4776" s="36" t="s">
        <v>759</v>
      </c>
      <c r="E4776" s="37">
        <v>0.46329999999999999</v>
      </c>
      <c r="F4776" s="54">
        <v>21.622</v>
      </c>
      <c r="G4776" s="54">
        <f t="shared" si="82"/>
        <v>10.0174726</v>
      </c>
      <c r="H4776" s="73"/>
      <c r="I4776" s="74"/>
      <c r="J4776" s="156">
        <v>0</v>
      </c>
    </row>
    <row r="4777" spans="1:10" ht="15.75" hidden="1" thickBot="1" x14ac:dyDescent="0.3">
      <c r="A4777" s="227"/>
      <c r="B4777" s="225"/>
      <c r="C4777" s="36" t="s">
        <v>760</v>
      </c>
      <c r="D4777" s="36" t="s">
        <v>759</v>
      </c>
      <c r="E4777" s="37">
        <v>0.14599999999999999</v>
      </c>
      <c r="F4777" s="54">
        <v>16.311500000000002</v>
      </c>
      <c r="G4777" s="54">
        <f t="shared" si="82"/>
        <v>2.3814790000000001</v>
      </c>
      <c r="H4777" s="73"/>
      <c r="I4777" s="74"/>
      <c r="J4777" s="156">
        <v>0</v>
      </c>
    </row>
    <row r="4778" spans="1:10" ht="15.75" hidden="1" thickBot="1" x14ac:dyDescent="0.3">
      <c r="A4778" s="228"/>
      <c r="B4778" s="226"/>
      <c r="C4778" s="36"/>
      <c r="D4778" s="36"/>
      <c r="E4778" s="37"/>
      <c r="F4778" s="54" t="s">
        <v>572</v>
      </c>
      <c r="G4778" s="54" t="str">
        <f t="shared" si="82"/>
        <v/>
      </c>
      <c r="H4778" s="73"/>
      <c r="I4778" s="74"/>
      <c r="J4778" s="156">
        <v>0</v>
      </c>
    </row>
    <row r="4779" spans="1:10" ht="15.75" hidden="1" thickBot="1" x14ac:dyDescent="0.3">
      <c r="A4779" s="221" t="s">
        <v>3515</v>
      </c>
      <c r="B4779" s="224" t="str">
        <f>INDEX(Orçamentária!A:B,MATCH(Composições!A4779,Orçamentária!A:A,0),2)</f>
        <v>Misturador de parede para cozinha bica móvel – Linha Residencial</v>
      </c>
      <c r="C4779" s="41"/>
      <c r="D4779" s="26" t="str">
        <f>TRIM(INDEX(Orçamentária!C:C,MATCH(Composições!A4779,Orçamentária!A:A,0),1))</f>
        <v>un</v>
      </c>
      <c r="E4779" s="27"/>
      <c r="F4779" s="49" t="s">
        <v>572</v>
      </c>
      <c r="G4779" s="28" t="str">
        <f t="shared" si="82"/>
        <v/>
      </c>
      <c r="H4779" s="29"/>
      <c r="I4779" s="30"/>
      <c r="J4779" s="156">
        <v>0</v>
      </c>
    </row>
    <row r="4780" spans="1:10" ht="15.75" hidden="1" thickBot="1" x14ac:dyDescent="0.3">
      <c r="A4780" s="227"/>
      <c r="B4780" s="225"/>
      <c r="C4780" s="32"/>
      <c r="D4780" s="32"/>
      <c r="E4780" s="33"/>
      <c r="F4780" s="54" t="s">
        <v>572</v>
      </c>
      <c r="G4780" s="54" t="str">
        <f t="shared" si="82"/>
        <v/>
      </c>
      <c r="H4780" s="73"/>
      <c r="I4780" s="74"/>
      <c r="J4780" s="156">
        <v>0</v>
      </c>
    </row>
    <row r="4781" spans="1:10" ht="15.75" hidden="1" thickBot="1" x14ac:dyDescent="0.3">
      <c r="A4781" s="227"/>
      <c r="B4781" s="225"/>
      <c r="C4781" s="36" t="s">
        <v>1129</v>
      </c>
      <c r="D4781" s="36" t="s">
        <v>299</v>
      </c>
      <c r="E4781" s="37">
        <v>4.2000000000000003E-2</v>
      </c>
      <c r="F4781" s="54">
        <v>3.7049999999999996</v>
      </c>
      <c r="G4781" s="54">
        <f t="shared" si="82"/>
        <v>0.15561</v>
      </c>
      <c r="H4781" s="39">
        <f>SUM(G4781:G4784)</f>
        <v>6.2197963000000005</v>
      </c>
      <c r="I4781" s="40"/>
      <c r="J4781" s="156">
        <v>0</v>
      </c>
    </row>
    <row r="4782" spans="1:10" ht="26.25" hidden="1" thickBot="1" x14ac:dyDescent="0.3">
      <c r="A4782" s="227"/>
      <c r="B4782" s="225"/>
      <c r="C4782" s="36" t="s">
        <v>3663</v>
      </c>
      <c r="D4782" s="36" t="s">
        <v>299</v>
      </c>
      <c r="E4782" s="37">
        <v>1</v>
      </c>
      <c r="F4782" s="54" t="s">
        <v>572</v>
      </c>
      <c r="G4782" s="54" t="str">
        <f t="shared" si="82"/>
        <v/>
      </c>
      <c r="H4782" s="73"/>
      <c r="I4782" s="74"/>
      <c r="J4782" s="156">
        <v>0</v>
      </c>
    </row>
    <row r="4783" spans="1:10" ht="26.25" hidden="1" thickBot="1" x14ac:dyDescent="0.3">
      <c r="A4783" s="227"/>
      <c r="B4783" s="225"/>
      <c r="C4783" s="36" t="s">
        <v>1013</v>
      </c>
      <c r="D4783" s="36" t="s">
        <v>759</v>
      </c>
      <c r="E4783" s="37">
        <v>0.2266</v>
      </c>
      <c r="F4783" s="54">
        <v>21.622</v>
      </c>
      <c r="G4783" s="54">
        <f t="shared" si="82"/>
        <v>4.8995451999999995</v>
      </c>
      <c r="H4783" s="73"/>
      <c r="I4783" s="74"/>
      <c r="J4783" s="156">
        <v>0</v>
      </c>
    </row>
    <row r="4784" spans="1:10" ht="15.75" hidden="1" thickBot="1" x14ac:dyDescent="0.3">
      <c r="A4784" s="227"/>
      <c r="B4784" s="225"/>
      <c r="C4784" s="36" t="s">
        <v>760</v>
      </c>
      <c r="D4784" s="36" t="s">
        <v>759</v>
      </c>
      <c r="E4784" s="37">
        <v>7.1400000000000005E-2</v>
      </c>
      <c r="F4784" s="54">
        <v>16.311500000000002</v>
      </c>
      <c r="G4784" s="54">
        <f t="shared" si="82"/>
        <v>1.1646411000000003</v>
      </c>
      <c r="H4784" s="73"/>
      <c r="I4784" s="74"/>
      <c r="J4784" s="156">
        <v>0</v>
      </c>
    </row>
    <row r="4785" spans="1:10" ht="15.75" hidden="1" thickBot="1" x14ac:dyDescent="0.3">
      <c r="A4785" s="228"/>
      <c r="B4785" s="226"/>
      <c r="C4785" s="36"/>
      <c r="D4785" s="36"/>
      <c r="E4785" s="37"/>
      <c r="F4785" s="54" t="s">
        <v>572</v>
      </c>
      <c r="G4785" s="54" t="str">
        <f t="shared" si="82"/>
        <v/>
      </c>
      <c r="H4785" s="73"/>
      <c r="I4785" s="74"/>
      <c r="J4785" s="156">
        <v>0</v>
      </c>
    </row>
    <row r="4786" spans="1:10" ht="15.75" hidden="1" thickBot="1" x14ac:dyDescent="0.3">
      <c r="A4786" s="221" t="s">
        <v>3516</v>
      </c>
      <c r="B4786" s="224" t="str">
        <f>INDEX(Orçamentária!A:B,MATCH(Composições!A4786,Orçamentária!A:A,0),2)</f>
        <v>Dobradiça automática vidro/vidro para box de vidro temperado</v>
      </c>
      <c r="C4786" s="41"/>
      <c r="D4786" s="26" t="str">
        <f>TRIM(INDEX(Orçamentária!C:C,MATCH(Composições!A4786,Orçamentária!A:A,0),1))</f>
        <v>un</v>
      </c>
      <c r="E4786" s="27"/>
      <c r="F4786" s="42" t="s">
        <v>572</v>
      </c>
      <c r="G4786" s="28" t="str">
        <f t="shared" si="82"/>
        <v/>
      </c>
      <c r="H4786" s="29"/>
      <c r="I4786" s="30"/>
      <c r="J4786" s="156">
        <v>0</v>
      </c>
    </row>
    <row r="4787" spans="1:10" ht="15.75" hidden="1" thickBot="1" x14ac:dyDescent="0.3">
      <c r="A4787" s="222"/>
      <c r="B4787" s="225"/>
      <c r="C4787" s="32"/>
      <c r="D4787" s="32"/>
      <c r="E4787" s="33"/>
      <c r="F4787" s="43" t="s">
        <v>572</v>
      </c>
      <c r="G4787" s="34" t="str">
        <f t="shared" si="82"/>
        <v/>
      </c>
      <c r="H4787" s="35"/>
      <c r="I4787" s="31"/>
      <c r="J4787" s="156">
        <v>0</v>
      </c>
    </row>
    <row r="4788" spans="1:10" ht="15.75" hidden="1" thickBot="1" x14ac:dyDescent="0.3">
      <c r="A4788" s="222"/>
      <c r="B4788" s="225"/>
      <c r="C4788" s="36" t="s">
        <v>68</v>
      </c>
      <c r="D4788" s="36" t="s">
        <v>12</v>
      </c>
      <c r="E4788" s="37">
        <v>0.3</v>
      </c>
      <c r="F4788" s="34">
        <v>20.539000000000001</v>
      </c>
      <c r="G4788" s="34">
        <f t="shared" si="82"/>
        <v>6.1617000000000006</v>
      </c>
      <c r="H4788" s="39">
        <f>SUM(G4788:G4789)</f>
        <v>6.1617000000000006</v>
      </c>
      <c r="I4788" s="40"/>
      <c r="J4788" s="156">
        <v>0</v>
      </c>
    </row>
    <row r="4789" spans="1:10" ht="26.25" hidden="1" thickBot="1" x14ac:dyDescent="0.3">
      <c r="A4789" s="222"/>
      <c r="B4789" s="225"/>
      <c r="C4789" s="36" t="s">
        <v>3664</v>
      </c>
      <c r="D4789" s="47" t="s">
        <v>20</v>
      </c>
      <c r="E4789" s="37">
        <v>1</v>
      </c>
      <c r="F4789" s="31" t="s">
        <v>572</v>
      </c>
      <c r="G4789" s="34" t="str">
        <f t="shared" si="82"/>
        <v/>
      </c>
      <c r="H4789" s="35"/>
      <c r="I4789" s="31"/>
      <c r="J4789" s="156">
        <v>0</v>
      </c>
    </row>
    <row r="4790" spans="1:10" ht="15.75" hidden="1" thickBot="1" x14ac:dyDescent="0.3">
      <c r="A4790" s="223"/>
      <c r="B4790" s="226"/>
      <c r="C4790" s="36"/>
      <c r="D4790" s="36"/>
      <c r="E4790" s="37"/>
      <c r="F4790" s="31" t="s">
        <v>572</v>
      </c>
      <c r="G4790" s="34" t="str">
        <f t="shared" si="82"/>
        <v/>
      </c>
      <c r="H4790" s="35"/>
      <c r="I4790" s="31"/>
      <c r="J4790" s="156">
        <v>0</v>
      </c>
    </row>
    <row r="4791" spans="1:10" ht="15.75" hidden="1" thickBot="1" x14ac:dyDescent="0.3">
      <c r="A4791" s="221" t="s">
        <v>3517</v>
      </c>
      <c r="B4791" s="224" t="str">
        <f>INDEX(Orçamentária!A:B,MATCH(Composições!A4791,Orçamentária!A:A,0),2)</f>
        <v>Luminária tipo arandela – Linha Residencial</v>
      </c>
      <c r="C4791" s="41"/>
      <c r="D4791" s="26" t="str">
        <f>TRIM(INDEX(Orçamentária!C:C,MATCH(Composições!A4791,Orçamentária!A:A,0),1))</f>
        <v>un</v>
      </c>
      <c r="E4791" s="27"/>
      <c r="F4791" s="42" t="s">
        <v>572</v>
      </c>
      <c r="G4791" s="28" t="str">
        <f t="shared" si="82"/>
        <v/>
      </c>
      <c r="H4791" s="29"/>
      <c r="I4791" s="30"/>
      <c r="J4791" s="156">
        <v>0</v>
      </c>
    </row>
    <row r="4792" spans="1:10" ht="15.75" hidden="1" thickBot="1" x14ac:dyDescent="0.3">
      <c r="A4792" s="222"/>
      <c r="B4792" s="225"/>
      <c r="C4792" s="32"/>
      <c r="D4792" s="32"/>
      <c r="E4792" s="33"/>
      <c r="F4792" s="43" t="s">
        <v>572</v>
      </c>
      <c r="G4792" s="31" t="str">
        <f t="shared" si="82"/>
        <v/>
      </c>
      <c r="H4792" s="35"/>
      <c r="I4792" s="31"/>
      <c r="J4792" s="156">
        <v>0</v>
      </c>
    </row>
    <row r="4793" spans="1:10" ht="26.25" hidden="1" thickBot="1" x14ac:dyDescent="0.3">
      <c r="A4793" s="222"/>
      <c r="B4793" s="225"/>
      <c r="C4793" s="36" t="s">
        <v>3666</v>
      </c>
      <c r="D4793" s="36" t="s">
        <v>150</v>
      </c>
      <c r="E4793" s="37">
        <v>1</v>
      </c>
      <c r="F4793" s="34" t="s">
        <v>572</v>
      </c>
      <c r="G4793" s="34" t="str">
        <f t="shared" si="82"/>
        <v/>
      </c>
      <c r="H4793" s="39">
        <f>SUM(G4793:G4796)</f>
        <v>13.9617928</v>
      </c>
      <c r="I4793" s="40"/>
      <c r="J4793" s="156">
        <v>0</v>
      </c>
    </row>
    <row r="4794" spans="1:10" ht="26.25" hidden="1" thickBot="1" x14ac:dyDescent="0.3">
      <c r="A4794" s="222"/>
      <c r="B4794" s="225"/>
      <c r="C4794" s="36" t="s">
        <v>3665</v>
      </c>
      <c r="D4794" s="36" t="s">
        <v>150</v>
      </c>
      <c r="E4794" s="37">
        <v>1</v>
      </c>
      <c r="F4794" s="34" t="s">
        <v>572</v>
      </c>
      <c r="G4794" s="34" t="str">
        <f t="shared" si="82"/>
        <v/>
      </c>
      <c r="H4794" s="45"/>
      <c r="I4794" s="46"/>
      <c r="J4794" s="156">
        <v>0</v>
      </c>
    </row>
    <row r="4795" spans="1:10" ht="15.75" hidden="1" thickBot="1" x14ac:dyDescent="0.3">
      <c r="A4795" s="222"/>
      <c r="B4795" s="225"/>
      <c r="C4795" s="36" t="s">
        <v>74</v>
      </c>
      <c r="D4795" s="47" t="s">
        <v>12</v>
      </c>
      <c r="E4795" s="37">
        <v>0.19719999999999999</v>
      </c>
      <c r="F4795" s="31">
        <v>17.366</v>
      </c>
      <c r="G4795" s="31">
        <f t="shared" si="82"/>
        <v>3.4245751999999996</v>
      </c>
      <c r="H4795" s="35"/>
      <c r="I4795" s="31"/>
      <c r="J4795" s="156">
        <v>0</v>
      </c>
    </row>
    <row r="4796" spans="1:10" ht="15.75" hidden="1" thickBot="1" x14ac:dyDescent="0.3">
      <c r="A4796" s="222"/>
      <c r="B4796" s="225"/>
      <c r="C4796" s="36" t="s">
        <v>30</v>
      </c>
      <c r="D4796" s="36" t="s">
        <v>12</v>
      </c>
      <c r="E4796" s="37">
        <v>0.47320000000000001</v>
      </c>
      <c r="F4796" s="31">
        <v>22.268000000000001</v>
      </c>
      <c r="G4796" s="31">
        <f t="shared" ref="G4796:G4859" si="83">IF(ISNUMBER(F4796),E4796*F4796,"")</f>
        <v>10.5372176</v>
      </c>
      <c r="H4796" s="35"/>
      <c r="I4796" s="31"/>
      <c r="J4796" s="156">
        <v>0</v>
      </c>
    </row>
    <row r="4797" spans="1:10" ht="15.75" hidden="1" thickBot="1" x14ac:dyDescent="0.3">
      <c r="A4797" s="223"/>
      <c r="B4797" s="226"/>
      <c r="C4797" s="36"/>
      <c r="D4797" s="36"/>
      <c r="E4797" s="37"/>
      <c r="F4797" s="31" t="s">
        <v>572</v>
      </c>
      <c r="G4797" s="31" t="str">
        <f t="shared" si="83"/>
        <v/>
      </c>
      <c r="H4797" s="35"/>
      <c r="I4797" s="31"/>
      <c r="J4797" s="156">
        <v>0</v>
      </c>
    </row>
    <row r="4798" spans="1:10" ht="15.75" hidden="1" thickBot="1" x14ac:dyDescent="0.3">
      <c r="A4798" s="221" t="s">
        <v>3518</v>
      </c>
      <c r="B4798" s="224" t="str">
        <f>INDEX(Orçamentária!A:B,MATCH(Composições!A4798,Orçamentária!A:A,0),2)</f>
        <v>Tê misturador de transição 1/2” ou 3/4” – Linha Residencial</v>
      </c>
      <c r="C4798" s="41"/>
      <c r="D4798" s="26" t="str">
        <f>TRIM(INDEX(Orçamentária!C:C,MATCH(Composições!A4798,Orçamentária!A:A,0),1))</f>
        <v>un</v>
      </c>
      <c r="E4798" s="27"/>
      <c r="F4798" s="42" t="s">
        <v>572</v>
      </c>
      <c r="G4798" s="28" t="str">
        <f t="shared" si="83"/>
        <v/>
      </c>
      <c r="H4798" s="29"/>
      <c r="I4798" s="30"/>
      <c r="J4798" s="156">
        <v>0</v>
      </c>
    </row>
    <row r="4799" spans="1:10" ht="15.75" hidden="1" thickBot="1" x14ac:dyDescent="0.3">
      <c r="A4799" s="222"/>
      <c r="B4799" s="225"/>
      <c r="C4799" s="32"/>
      <c r="D4799" s="32"/>
      <c r="E4799" s="33"/>
      <c r="F4799" s="43" t="s">
        <v>572</v>
      </c>
      <c r="G4799" s="31" t="str">
        <f t="shared" si="83"/>
        <v/>
      </c>
      <c r="H4799" s="35"/>
      <c r="I4799" s="31"/>
      <c r="J4799" s="156">
        <v>0</v>
      </c>
    </row>
    <row r="4800" spans="1:10" ht="15.75" hidden="1" thickBot="1" x14ac:dyDescent="0.3">
      <c r="A4800" s="222"/>
      <c r="B4800" s="225"/>
      <c r="C4800" s="36" t="s">
        <v>3441</v>
      </c>
      <c r="D4800" s="36" t="s">
        <v>299</v>
      </c>
      <c r="E4800" s="37">
        <v>1.2E-2</v>
      </c>
      <c r="F4800" s="34">
        <v>21.184999999999999</v>
      </c>
      <c r="G4800" s="34">
        <f t="shared" si="83"/>
        <v>0.25422</v>
      </c>
      <c r="H4800" s="39">
        <f>SUM(G4800:G4803)</f>
        <v>37.417099</v>
      </c>
      <c r="I4800" s="40"/>
      <c r="J4800" s="156">
        <v>0</v>
      </c>
    </row>
    <row r="4801" spans="1:10" ht="26.25" hidden="1" thickBot="1" x14ac:dyDescent="0.3">
      <c r="A4801" s="222"/>
      <c r="B4801" s="225"/>
      <c r="C4801" s="36" t="s">
        <v>3476</v>
      </c>
      <c r="D4801" s="36" t="s">
        <v>299</v>
      </c>
      <c r="E4801" s="37">
        <v>1</v>
      </c>
      <c r="F4801" s="34">
        <v>30.114999999999998</v>
      </c>
      <c r="G4801" s="34">
        <f t="shared" si="83"/>
        <v>30.114999999999998</v>
      </c>
      <c r="H4801" s="45"/>
      <c r="I4801" s="46"/>
      <c r="J4801" s="156">
        <v>0</v>
      </c>
    </row>
    <row r="4802" spans="1:10" ht="26.25" hidden="1" thickBot="1" x14ac:dyDescent="0.3">
      <c r="A4802" s="222"/>
      <c r="B4802" s="225"/>
      <c r="C4802" s="36" t="s">
        <v>1012</v>
      </c>
      <c r="D4802" s="47" t="s">
        <v>759</v>
      </c>
      <c r="E4802" s="37">
        <v>0.183</v>
      </c>
      <c r="F4802" s="31">
        <v>16.891000000000002</v>
      </c>
      <c r="G4802" s="31">
        <f t="shared" si="83"/>
        <v>3.0910530000000001</v>
      </c>
      <c r="H4802" s="35"/>
      <c r="I4802" s="31"/>
      <c r="J4802" s="156">
        <v>0</v>
      </c>
    </row>
    <row r="4803" spans="1:10" ht="26.25" hidden="1" thickBot="1" x14ac:dyDescent="0.3">
      <c r="A4803" s="222"/>
      <c r="B4803" s="225"/>
      <c r="C4803" s="36" t="s">
        <v>1013</v>
      </c>
      <c r="D4803" s="36" t="s">
        <v>759</v>
      </c>
      <c r="E4803" s="37">
        <v>0.183</v>
      </c>
      <c r="F4803" s="31">
        <v>21.622</v>
      </c>
      <c r="G4803" s="31">
        <f t="shared" si="83"/>
        <v>3.956826</v>
      </c>
      <c r="H4803" s="35"/>
      <c r="I4803" s="31"/>
      <c r="J4803" s="156">
        <v>0</v>
      </c>
    </row>
    <row r="4804" spans="1:10" ht="15.75" hidden="1" thickBot="1" x14ac:dyDescent="0.3">
      <c r="A4804" s="223"/>
      <c r="B4804" s="226"/>
      <c r="C4804" s="36"/>
      <c r="D4804" s="36"/>
      <c r="E4804" s="37"/>
      <c r="F4804" s="31" t="s">
        <v>572</v>
      </c>
      <c r="G4804" s="31" t="str">
        <f t="shared" si="83"/>
        <v/>
      </c>
      <c r="H4804" s="35"/>
      <c r="I4804" s="31"/>
      <c r="J4804" s="156">
        <v>0</v>
      </c>
    </row>
    <row r="4805" spans="1:10" ht="15.75" hidden="1" thickBot="1" x14ac:dyDescent="0.3">
      <c r="A4805" s="221" t="s">
        <v>3519</v>
      </c>
      <c r="B4805" s="224" t="str">
        <f>INDEX(Orçamentária!A:B,MATCH(Composições!A4805,Orçamentária!A:A,0),2)</f>
        <v>Base para válvula de descarga 1 1/2”</v>
      </c>
      <c r="C4805" s="41"/>
      <c r="D4805" s="26" t="str">
        <f>TRIM(INDEX(Orçamentária!C:C,MATCH(Composições!A4805,Orçamentária!A:A,0),1))</f>
        <v>un</v>
      </c>
      <c r="E4805" s="27"/>
      <c r="F4805" s="42" t="s">
        <v>572</v>
      </c>
      <c r="G4805" s="28" t="str">
        <f t="shared" si="83"/>
        <v/>
      </c>
      <c r="H4805" s="29"/>
      <c r="I4805" s="30"/>
      <c r="J4805" s="156">
        <v>0</v>
      </c>
    </row>
    <row r="4806" spans="1:10" ht="15.75" hidden="1" thickBot="1" x14ac:dyDescent="0.3">
      <c r="A4806" s="222"/>
      <c r="B4806" s="225"/>
      <c r="C4806" s="32"/>
      <c r="D4806" s="32"/>
      <c r="E4806" s="33"/>
      <c r="F4806" s="43" t="s">
        <v>572</v>
      </c>
      <c r="G4806" s="31" t="str">
        <f t="shared" si="83"/>
        <v/>
      </c>
      <c r="H4806" s="35"/>
      <c r="I4806" s="31"/>
      <c r="J4806" s="156">
        <v>0</v>
      </c>
    </row>
    <row r="4807" spans="1:10" ht="15.75" hidden="1" thickBot="1" x14ac:dyDescent="0.3">
      <c r="A4807" s="222"/>
      <c r="B4807" s="225"/>
      <c r="C4807" s="36" t="s">
        <v>350</v>
      </c>
      <c r="D4807" s="36" t="s">
        <v>299</v>
      </c>
      <c r="E4807" s="37">
        <v>1.9E-2</v>
      </c>
      <c r="F4807" s="34">
        <v>13.661</v>
      </c>
      <c r="G4807" s="34">
        <f t="shared" si="83"/>
        <v>0.25955899999999998</v>
      </c>
      <c r="H4807" s="39">
        <f>SUM(G4807:G4810)</f>
        <v>24.568964600000001</v>
      </c>
      <c r="I4807" s="40"/>
      <c r="J4807" s="156">
        <v>0</v>
      </c>
    </row>
    <row r="4808" spans="1:10" ht="15.75" hidden="1" thickBot="1" x14ac:dyDescent="0.3">
      <c r="A4808" s="222"/>
      <c r="B4808" s="225"/>
      <c r="C4808" s="36" t="s">
        <v>3667</v>
      </c>
      <c r="D4808" s="36" t="s">
        <v>299</v>
      </c>
      <c r="E4808" s="37">
        <v>1</v>
      </c>
      <c r="F4808" s="34" t="s">
        <v>572</v>
      </c>
      <c r="G4808" s="34" t="str">
        <f t="shared" si="83"/>
        <v/>
      </c>
      <c r="H4808" s="45"/>
      <c r="I4808" s="46"/>
      <c r="J4808" s="156">
        <v>0</v>
      </c>
    </row>
    <row r="4809" spans="1:10" ht="26.25" hidden="1" thickBot="1" x14ac:dyDescent="0.3">
      <c r="A4809" s="222"/>
      <c r="B4809" s="225"/>
      <c r="C4809" s="36" t="s">
        <v>1012</v>
      </c>
      <c r="D4809" s="47" t="s">
        <v>759</v>
      </c>
      <c r="E4809" s="37">
        <f>ROUND(0.789*0.8,4)</f>
        <v>0.63119999999999998</v>
      </c>
      <c r="F4809" s="31">
        <v>16.891000000000002</v>
      </c>
      <c r="G4809" s="31">
        <f t="shared" si="83"/>
        <v>10.661599200000001</v>
      </c>
      <c r="H4809" s="35"/>
      <c r="I4809" s="31"/>
      <c r="J4809" s="156">
        <v>0</v>
      </c>
    </row>
    <row r="4810" spans="1:10" ht="26.25" hidden="1" thickBot="1" x14ac:dyDescent="0.3">
      <c r="A4810" s="222"/>
      <c r="B4810" s="225"/>
      <c r="C4810" s="36" t="s">
        <v>1013</v>
      </c>
      <c r="D4810" s="36" t="s">
        <v>759</v>
      </c>
      <c r="E4810" s="37">
        <f>ROUND(0.789*0.8,4)</f>
        <v>0.63119999999999998</v>
      </c>
      <c r="F4810" s="31">
        <v>21.622</v>
      </c>
      <c r="G4810" s="31">
        <f t="shared" si="83"/>
        <v>13.6478064</v>
      </c>
      <c r="H4810" s="35"/>
      <c r="I4810" s="31"/>
      <c r="J4810" s="156">
        <v>0</v>
      </c>
    </row>
    <row r="4811" spans="1:10" ht="15.75" hidden="1" thickBot="1" x14ac:dyDescent="0.3">
      <c r="A4811" s="223"/>
      <c r="B4811" s="226"/>
      <c r="C4811" s="36"/>
      <c r="D4811" s="36"/>
      <c r="E4811" s="37"/>
      <c r="F4811" s="31" t="s">
        <v>572</v>
      </c>
      <c r="G4811" s="31" t="str">
        <f t="shared" si="83"/>
        <v/>
      </c>
      <c r="H4811" s="35"/>
      <c r="I4811" s="31"/>
      <c r="J4811" s="156">
        <v>0</v>
      </c>
    </row>
    <row r="4812" spans="1:10" ht="15.75" hidden="1" thickBot="1" x14ac:dyDescent="0.3">
      <c r="A4812" s="221" t="s">
        <v>3520</v>
      </c>
      <c r="B4812" s="224" t="str">
        <f>INDEX(Orçamentária!A:B,MATCH(Composições!A4812,Orçamentária!A:A,0),2)</f>
        <v>Base para válvula de descarga 1 1/4”</v>
      </c>
      <c r="C4812" s="41"/>
      <c r="D4812" s="26" t="str">
        <f>TRIM(INDEX(Orçamentária!C:C,MATCH(Composições!A4812,Orçamentária!A:A,0),1))</f>
        <v>un</v>
      </c>
      <c r="E4812" s="27"/>
      <c r="F4812" s="42" t="s">
        <v>572</v>
      </c>
      <c r="G4812" s="28" t="str">
        <f t="shared" si="83"/>
        <v/>
      </c>
      <c r="H4812" s="29"/>
      <c r="I4812" s="30"/>
      <c r="J4812" s="156">
        <v>0</v>
      </c>
    </row>
    <row r="4813" spans="1:10" ht="15.75" hidden="1" thickBot="1" x14ac:dyDescent="0.3">
      <c r="A4813" s="222"/>
      <c r="B4813" s="225"/>
      <c r="C4813" s="32"/>
      <c r="D4813" s="32"/>
      <c r="E4813" s="33"/>
      <c r="F4813" s="43" t="s">
        <v>572</v>
      </c>
      <c r="G4813" s="31" t="str">
        <f t="shared" si="83"/>
        <v/>
      </c>
      <c r="H4813" s="35"/>
      <c r="I4813" s="31"/>
      <c r="J4813" s="156">
        <v>0</v>
      </c>
    </row>
    <row r="4814" spans="1:10" ht="15.75" hidden="1" thickBot="1" x14ac:dyDescent="0.3">
      <c r="A4814" s="222"/>
      <c r="B4814" s="225"/>
      <c r="C4814" s="36" t="s">
        <v>350</v>
      </c>
      <c r="D4814" s="36" t="s">
        <v>299</v>
      </c>
      <c r="E4814" s="37">
        <v>1.9E-2</v>
      </c>
      <c r="F4814" s="34">
        <v>13.661</v>
      </c>
      <c r="G4814" s="34">
        <f t="shared" si="83"/>
        <v>0.25955899999999998</v>
      </c>
      <c r="H4814" s="39">
        <f>SUM(G4814:G4817)</f>
        <v>24.568964600000001</v>
      </c>
      <c r="I4814" s="40"/>
      <c r="J4814" s="156">
        <v>0</v>
      </c>
    </row>
    <row r="4815" spans="1:10" ht="15.75" hidden="1" thickBot="1" x14ac:dyDescent="0.3">
      <c r="A4815" s="222"/>
      <c r="B4815" s="225"/>
      <c r="C4815" s="36" t="s">
        <v>3668</v>
      </c>
      <c r="D4815" s="36" t="s">
        <v>299</v>
      </c>
      <c r="E4815" s="37">
        <v>1</v>
      </c>
      <c r="F4815" s="34" t="s">
        <v>572</v>
      </c>
      <c r="G4815" s="34" t="str">
        <f t="shared" si="83"/>
        <v/>
      </c>
      <c r="H4815" s="45"/>
      <c r="I4815" s="46"/>
      <c r="J4815" s="156">
        <v>0</v>
      </c>
    </row>
    <row r="4816" spans="1:10" ht="26.25" hidden="1" thickBot="1" x14ac:dyDescent="0.3">
      <c r="A4816" s="222"/>
      <c r="B4816" s="225"/>
      <c r="C4816" s="36" t="s">
        <v>1012</v>
      </c>
      <c r="D4816" s="47" t="s">
        <v>759</v>
      </c>
      <c r="E4816" s="37">
        <f t="shared" ref="E4816:E4817" si="84">ROUND(0.789*0.8,4)</f>
        <v>0.63119999999999998</v>
      </c>
      <c r="F4816" s="31">
        <v>16.891000000000002</v>
      </c>
      <c r="G4816" s="31">
        <f t="shared" si="83"/>
        <v>10.661599200000001</v>
      </c>
      <c r="H4816" s="35"/>
      <c r="I4816" s="31"/>
      <c r="J4816" s="156">
        <v>0</v>
      </c>
    </row>
    <row r="4817" spans="1:10" ht="26.25" hidden="1" thickBot="1" x14ac:dyDescent="0.3">
      <c r="A4817" s="222"/>
      <c r="B4817" s="225"/>
      <c r="C4817" s="36" t="s">
        <v>1013</v>
      </c>
      <c r="D4817" s="36" t="s">
        <v>759</v>
      </c>
      <c r="E4817" s="37">
        <f t="shared" si="84"/>
        <v>0.63119999999999998</v>
      </c>
      <c r="F4817" s="31">
        <v>21.622</v>
      </c>
      <c r="G4817" s="31">
        <f t="shared" si="83"/>
        <v>13.6478064</v>
      </c>
      <c r="H4817" s="35"/>
      <c r="I4817" s="31"/>
      <c r="J4817" s="156">
        <v>0</v>
      </c>
    </row>
    <row r="4818" spans="1:10" ht="15.75" hidden="1" thickBot="1" x14ac:dyDescent="0.3">
      <c r="A4818" s="223"/>
      <c r="B4818" s="226"/>
      <c r="C4818" s="36"/>
      <c r="D4818" s="36"/>
      <c r="E4818" s="37"/>
      <c r="F4818" s="31" t="s">
        <v>572</v>
      </c>
      <c r="G4818" s="31" t="str">
        <f t="shared" si="83"/>
        <v/>
      </c>
      <c r="H4818" s="35"/>
      <c r="I4818" s="31"/>
      <c r="J4818" s="156">
        <v>0</v>
      </c>
    </row>
    <row r="4819" spans="1:10" ht="15.75" hidden="1" thickBot="1" x14ac:dyDescent="0.3">
      <c r="A4819" s="221" t="s">
        <v>3521</v>
      </c>
      <c r="B4819" s="224" t="str">
        <f>INDEX(Orçamentária!A:B,MATCH(Composições!A4819,Orçamentária!A:A,0),2)</f>
        <v>Anel de Vedação para bacia sanitária</v>
      </c>
      <c r="C4819" s="41"/>
      <c r="D4819" s="26" t="str">
        <f>TRIM(INDEX(Orçamentária!C:C,MATCH(Composições!A4819,Orçamentária!A:A,0),1))</f>
        <v>un</v>
      </c>
      <c r="E4819" s="27"/>
      <c r="F4819" s="42" t="s">
        <v>572</v>
      </c>
      <c r="G4819" s="28" t="str">
        <f t="shared" si="83"/>
        <v/>
      </c>
      <c r="H4819" s="29"/>
      <c r="I4819" s="30"/>
      <c r="J4819" s="156">
        <v>0</v>
      </c>
    </row>
    <row r="4820" spans="1:10" ht="15.75" hidden="1" thickBot="1" x14ac:dyDescent="0.3">
      <c r="A4820" s="222"/>
      <c r="B4820" s="225"/>
      <c r="C4820" s="32"/>
      <c r="D4820" s="32"/>
      <c r="E4820" s="33"/>
      <c r="F4820" s="43" t="s">
        <v>572</v>
      </c>
      <c r="G4820" s="34" t="str">
        <f t="shared" si="83"/>
        <v/>
      </c>
      <c r="H4820" s="35"/>
      <c r="I4820" s="31"/>
      <c r="J4820" s="156">
        <v>0</v>
      </c>
    </row>
    <row r="4821" spans="1:10" ht="15.75" hidden="1" thickBot="1" x14ac:dyDescent="0.3">
      <c r="A4821" s="222"/>
      <c r="B4821" s="225"/>
      <c r="C4821" s="36" t="s">
        <v>327</v>
      </c>
      <c r="D4821" s="47" t="s">
        <v>20</v>
      </c>
      <c r="E4821" s="37">
        <v>1</v>
      </c>
      <c r="F4821" s="34">
        <v>2.7454999999999998</v>
      </c>
      <c r="G4821" s="54">
        <f t="shared" si="83"/>
        <v>2.7454999999999998</v>
      </c>
      <c r="H4821" s="39">
        <f>SUM(G4821:G4822)</f>
        <v>4.9077000000000002</v>
      </c>
      <c r="I4821" s="31"/>
      <c r="J4821" s="156">
        <v>0</v>
      </c>
    </row>
    <row r="4822" spans="1:10" ht="26.25" hidden="1" thickBot="1" x14ac:dyDescent="0.3">
      <c r="A4822" s="222"/>
      <c r="B4822" s="225"/>
      <c r="C4822" s="36" t="s">
        <v>1013</v>
      </c>
      <c r="D4822" s="36" t="s">
        <v>759</v>
      </c>
      <c r="E4822" s="37">
        <v>0.1</v>
      </c>
      <c r="F4822" s="31">
        <v>21.622</v>
      </c>
      <c r="G4822" s="31">
        <f t="shared" si="83"/>
        <v>2.1621999999999999</v>
      </c>
      <c r="H4822" s="35"/>
      <c r="I4822" s="31"/>
      <c r="J4822" s="156">
        <v>0</v>
      </c>
    </row>
    <row r="4823" spans="1:10" ht="15.75" hidden="1" thickBot="1" x14ac:dyDescent="0.3">
      <c r="A4823" s="223"/>
      <c r="B4823" s="226"/>
      <c r="C4823" s="36"/>
      <c r="D4823" s="36"/>
      <c r="E4823" s="37"/>
      <c r="F4823" s="31" t="s">
        <v>572</v>
      </c>
      <c r="G4823" s="34" t="str">
        <f t="shared" si="83"/>
        <v/>
      </c>
      <c r="H4823" s="35"/>
      <c r="I4823" s="31"/>
      <c r="J4823" s="156">
        <v>0</v>
      </c>
    </row>
    <row r="4824" spans="1:10" ht="15.75" hidden="1" thickBot="1" x14ac:dyDescent="0.3">
      <c r="A4824" s="230" t="s">
        <v>3522</v>
      </c>
      <c r="B4824" s="232" t="str">
        <f>INDEX(Orçamentária!A:B,MATCH(Composições!A4824,Orçamentária!A:A,0),2)</f>
        <v>Folha de porta em madeira e MDF 2,10x0,60m</v>
      </c>
      <c r="C4824" s="41"/>
      <c r="D4824" s="26" t="str">
        <f>TRIM(INDEX(Orçamentária!C:C,MATCH(Composições!A4824,Orçamentária!A:A,0),1))</f>
        <v>un</v>
      </c>
      <c r="E4824" s="27"/>
      <c r="F4824" s="42" t="s">
        <v>572</v>
      </c>
      <c r="G4824" s="28" t="str">
        <f t="shared" si="83"/>
        <v/>
      </c>
      <c r="H4824" s="29"/>
      <c r="I4824" s="30"/>
      <c r="J4824" s="156">
        <v>0</v>
      </c>
    </row>
    <row r="4825" spans="1:10" ht="15.75" hidden="1" thickBot="1" x14ac:dyDescent="0.3">
      <c r="A4825" s="231"/>
      <c r="B4825" s="233"/>
      <c r="C4825" s="32"/>
      <c r="D4825" s="32"/>
      <c r="E4825" s="33"/>
      <c r="F4825" s="43" t="s">
        <v>572</v>
      </c>
      <c r="G4825" s="31" t="str">
        <f t="shared" si="83"/>
        <v/>
      </c>
      <c r="H4825" s="35"/>
      <c r="I4825" s="31"/>
      <c r="J4825" s="156">
        <v>0</v>
      </c>
    </row>
    <row r="4826" spans="1:10" ht="51.75" hidden="1" thickBot="1" x14ac:dyDescent="0.3">
      <c r="A4826" s="231"/>
      <c r="B4826" s="233"/>
      <c r="C4826" s="36" t="s">
        <v>3819</v>
      </c>
      <c r="D4826" s="47" t="s">
        <v>299</v>
      </c>
      <c r="E4826" s="37">
        <v>1</v>
      </c>
      <c r="F4826" s="34">
        <v>161.9845</v>
      </c>
      <c r="G4826" s="34">
        <f t="shared" si="83"/>
        <v>161.9845</v>
      </c>
      <c r="H4826" s="39">
        <f>SUM(G4826:G4828)</f>
        <v>192.82659960000001</v>
      </c>
      <c r="I4826" s="40"/>
      <c r="J4826" s="156">
        <v>0</v>
      </c>
    </row>
    <row r="4827" spans="1:10" ht="15.75" hidden="1" thickBot="1" x14ac:dyDescent="0.3">
      <c r="A4827" s="231"/>
      <c r="B4827" s="233"/>
      <c r="C4827" s="36" t="s">
        <v>758</v>
      </c>
      <c r="D4827" s="47" t="s">
        <v>759</v>
      </c>
      <c r="E4827" s="37">
        <f>ROUND(1.282*0.8,4)</f>
        <v>1.0256000000000001</v>
      </c>
      <c r="F4827" s="31">
        <v>21.916499999999999</v>
      </c>
      <c r="G4827" s="34">
        <f t="shared" si="83"/>
        <v>22.4775624</v>
      </c>
      <c r="H4827" s="35"/>
      <c r="I4827" s="31"/>
      <c r="J4827" s="156">
        <v>0</v>
      </c>
    </row>
    <row r="4828" spans="1:10" ht="15.75" hidden="1" thickBot="1" x14ac:dyDescent="0.3">
      <c r="A4828" s="231"/>
      <c r="B4828" s="233"/>
      <c r="C4828" s="36" t="s">
        <v>760</v>
      </c>
      <c r="D4828" s="47" t="s">
        <v>759</v>
      </c>
      <c r="E4828" s="37">
        <f>ROUND(0.641*0.8,4)</f>
        <v>0.51280000000000003</v>
      </c>
      <c r="F4828" s="31">
        <v>16.311500000000002</v>
      </c>
      <c r="G4828" s="34">
        <f t="shared" si="83"/>
        <v>8.3645372000000009</v>
      </c>
      <c r="H4828" s="35"/>
      <c r="I4828" s="31"/>
      <c r="J4828" s="156">
        <v>0</v>
      </c>
    </row>
    <row r="4829" spans="1:10" ht="15.75" hidden="1" thickBot="1" x14ac:dyDescent="0.3">
      <c r="A4829" s="231"/>
      <c r="B4829" s="233"/>
      <c r="C4829" s="36"/>
      <c r="D4829" s="47"/>
      <c r="E4829" s="37"/>
      <c r="F4829" s="34" t="s">
        <v>572</v>
      </c>
      <c r="G4829" s="34" t="str">
        <f t="shared" si="83"/>
        <v/>
      </c>
      <c r="H4829" s="35"/>
      <c r="I4829" s="31"/>
      <c r="J4829" s="156">
        <v>0</v>
      </c>
    </row>
    <row r="4830" spans="1:10" ht="15.75" hidden="1" thickBot="1" x14ac:dyDescent="0.3">
      <c r="A4830" s="230" t="s">
        <v>3523</v>
      </c>
      <c r="B4830" s="232" t="str">
        <f>INDEX(Orçamentária!A:B,MATCH(Composições!A4830,Orçamentária!A:A,0),2)</f>
        <v>Folha de porta em madeira e MDF 2,10x0,70m</v>
      </c>
      <c r="C4830" s="41"/>
      <c r="D4830" s="26" t="str">
        <f>TRIM(INDEX(Orçamentária!C:C,MATCH(Composições!A4830,Orçamentária!A:A,0),1))</f>
        <v>un</v>
      </c>
      <c r="E4830" s="27"/>
      <c r="F4830" s="42" t="s">
        <v>572</v>
      </c>
      <c r="G4830" s="28" t="str">
        <f t="shared" si="83"/>
        <v/>
      </c>
      <c r="H4830" s="29"/>
      <c r="I4830" s="30"/>
      <c r="J4830" s="156">
        <v>0</v>
      </c>
    </row>
    <row r="4831" spans="1:10" ht="15.75" hidden="1" thickBot="1" x14ac:dyDescent="0.3">
      <c r="A4831" s="231"/>
      <c r="B4831" s="233"/>
      <c r="C4831" s="32"/>
      <c r="D4831" s="32"/>
      <c r="E4831" s="33"/>
      <c r="F4831" s="43" t="s">
        <v>572</v>
      </c>
      <c r="G4831" s="31" t="str">
        <f t="shared" si="83"/>
        <v/>
      </c>
      <c r="H4831" s="35"/>
      <c r="I4831" s="31"/>
      <c r="J4831" s="156">
        <v>0</v>
      </c>
    </row>
    <row r="4832" spans="1:10" ht="51.75" hidden="1" thickBot="1" x14ac:dyDescent="0.3">
      <c r="A4832" s="231"/>
      <c r="B4832" s="233"/>
      <c r="C4832" s="36" t="s">
        <v>3814</v>
      </c>
      <c r="D4832" s="47" t="s">
        <v>299</v>
      </c>
      <c r="E4832" s="37">
        <v>1</v>
      </c>
      <c r="F4832" s="34">
        <v>176.07300000000001</v>
      </c>
      <c r="G4832" s="34">
        <f t="shared" si="83"/>
        <v>176.07300000000001</v>
      </c>
      <c r="H4832" s="39">
        <f>SUM(G4832:G4834)</f>
        <v>210.09072920000003</v>
      </c>
      <c r="I4832" s="40"/>
      <c r="J4832" s="156">
        <v>0</v>
      </c>
    </row>
    <row r="4833" spans="1:10" ht="15.75" hidden="1" thickBot="1" x14ac:dyDescent="0.3">
      <c r="A4833" s="231"/>
      <c r="B4833" s="233"/>
      <c r="C4833" s="36" t="s">
        <v>758</v>
      </c>
      <c r="D4833" s="47" t="s">
        <v>759</v>
      </c>
      <c r="E4833" s="37">
        <f>ROUND(1.414*0.8,4)</f>
        <v>1.1312</v>
      </c>
      <c r="F4833" s="31">
        <v>21.916499999999999</v>
      </c>
      <c r="G4833" s="34">
        <f t="shared" si="83"/>
        <v>24.7919448</v>
      </c>
      <c r="H4833" s="35"/>
      <c r="I4833" s="31"/>
      <c r="J4833" s="156">
        <v>0</v>
      </c>
    </row>
    <row r="4834" spans="1:10" ht="15.75" hidden="1" thickBot="1" x14ac:dyDescent="0.3">
      <c r="A4834" s="231"/>
      <c r="B4834" s="233"/>
      <c r="C4834" s="36" t="s">
        <v>760</v>
      </c>
      <c r="D4834" s="47" t="s">
        <v>759</v>
      </c>
      <c r="E4834" s="37">
        <f>ROUND(0.707*0.8,4)</f>
        <v>0.56559999999999999</v>
      </c>
      <c r="F4834" s="31">
        <v>16.311500000000002</v>
      </c>
      <c r="G4834" s="34">
        <f t="shared" si="83"/>
        <v>9.225784400000002</v>
      </c>
      <c r="H4834" s="35"/>
      <c r="I4834" s="31"/>
      <c r="J4834" s="156">
        <v>0</v>
      </c>
    </row>
    <row r="4835" spans="1:10" ht="15.75" hidden="1" thickBot="1" x14ac:dyDescent="0.3">
      <c r="A4835" s="231"/>
      <c r="B4835" s="233"/>
      <c r="C4835" s="36"/>
      <c r="D4835" s="47"/>
      <c r="E4835" s="37"/>
      <c r="F4835" s="34" t="s">
        <v>572</v>
      </c>
      <c r="G4835" s="34" t="str">
        <f t="shared" si="83"/>
        <v/>
      </c>
      <c r="H4835" s="35"/>
      <c r="I4835" s="31"/>
      <c r="J4835" s="156">
        <v>0</v>
      </c>
    </row>
    <row r="4836" spans="1:10" ht="15.75" hidden="1" thickBot="1" x14ac:dyDescent="0.3">
      <c r="A4836" s="230" t="s">
        <v>3524</v>
      </c>
      <c r="B4836" s="232" t="str">
        <f>INDEX(Orçamentária!A:B,MATCH(Composições!A4836,Orçamentária!A:A,0),2)</f>
        <v>Folha de porta em madeira e MDF 2,10x0,80m</v>
      </c>
      <c r="C4836" s="41"/>
      <c r="D4836" s="26" t="str">
        <f>TRIM(INDEX(Orçamentária!C:C,MATCH(Composições!A4836,Orçamentária!A:A,0),1))</f>
        <v>un</v>
      </c>
      <c r="E4836" s="27"/>
      <c r="F4836" s="42" t="s">
        <v>572</v>
      </c>
      <c r="G4836" s="28" t="str">
        <f t="shared" si="83"/>
        <v/>
      </c>
      <c r="H4836" s="29"/>
      <c r="I4836" s="30"/>
      <c r="J4836" s="156">
        <v>0</v>
      </c>
    </row>
    <row r="4837" spans="1:10" ht="15.75" hidden="1" thickBot="1" x14ac:dyDescent="0.3">
      <c r="A4837" s="231"/>
      <c r="B4837" s="233"/>
      <c r="C4837" s="32"/>
      <c r="D4837" s="32"/>
      <c r="E4837" s="33"/>
      <c r="F4837" s="43" t="s">
        <v>572</v>
      </c>
      <c r="G4837" s="31" t="str">
        <f t="shared" si="83"/>
        <v/>
      </c>
      <c r="H4837" s="35"/>
      <c r="I4837" s="31"/>
      <c r="J4837" s="156">
        <v>0</v>
      </c>
    </row>
    <row r="4838" spans="1:10" ht="51.75" hidden="1" thickBot="1" x14ac:dyDescent="0.3">
      <c r="A4838" s="231"/>
      <c r="B4838" s="233"/>
      <c r="C4838" s="36" t="s">
        <v>3816</v>
      </c>
      <c r="D4838" s="47" t="s">
        <v>299</v>
      </c>
      <c r="E4838" s="37">
        <v>1</v>
      </c>
      <c r="F4838" s="34">
        <v>198.85399999999998</v>
      </c>
      <c r="G4838" s="34">
        <f t="shared" si="83"/>
        <v>198.85399999999998</v>
      </c>
      <c r="H4838" s="39">
        <f>SUM(G4838:G4840)</f>
        <v>236.04735879999998</v>
      </c>
      <c r="I4838" s="40"/>
      <c r="J4838" s="156">
        <v>0</v>
      </c>
    </row>
    <row r="4839" spans="1:10" ht="15.75" hidden="1" thickBot="1" x14ac:dyDescent="0.3">
      <c r="A4839" s="231"/>
      <c r="B4839" s="233"/>
      <c r="C4839" s="36" t="s">
        <v>758</v>
      </c>
      <c r="D4839" s="47" t="s">
        <v>759</v>
      </c>
      <c r="E4839" s="37">
        <f>ROUND(1.546*0.8,4)</f>
        <v>1.2367999999999999</v>
      </c>
      <c r="F4839" s="31">
        <v>21.916499999999999</v>
      </c>
      <c r="G4839" s="34">
        <f t="shared" si="83"/>
        <v>27.106327199999996</v>
      </c>
      <c r="H4839" s="35"/>
      <c r="I4839" s="31"/>
      <c r="J4839" s="156">
        <v>0</v>
      </c>
    </row>
    <row r="4840" spans="1:10" ht="15.75" hidden="1" thickBot="1" x14ac:dyDescent="0.3">
      <c r="A4840" s="231"/>
      <c r="B4840" s="233"/>
      <c r="C4840" s="36" t="s">
        <v>760</v>
      </c>
      <c r="D4840" s="47" t="s">
        <v>759</v>
      </c>
      <c r="E4840" s="37">
        <f>ROUND(0.773*0.8,4)</f>
        <v>0.61839999999999995</v>
      </c>
      <c r="F4840" s="31">
        <v>16.311500000000002</v>
      </c>
      <c r="G4840" s="34">
        <f t="shared" si="83"/>
        <v>10.087031600000001</v>
      </c>
      <c r="H4840" s="35"/>
      <c r="I4840" s="31"/>
      <c r="J4840" s="156">
        <v>0</v>
      </c>
    </row>
    <row r="4841" spans="1:10" ht="15.75" hidden="1" thickBot="1" x14ac:dyDescent="0.3">
      <c r="A4841" s="231"/>
      <c r="B4841" s="233"/>
      <c r="C4841" s="36"/>
      <c r="D4841" s="47"/>
      <c r="E4841" s="37"/>
      <c r="F4841" s="34" t="s">
        <v>572</v>
      </c>
      <c r="G4841" s="34" t="str">
        <f t="shared" si="83"/>
        <v/>
      </c>
      <c r="H4841" s="35"/>
      <c r="I4841" s="31"/>
      <c r="J4841" s="156">
        <v>0</v>
      </c>
    </row>
    <row r="4842" spans="1:10" ht="15.75" hidden="1" thickBot="1" x14ac:dyDescent="0.3">
      <c r="A4842" s="230" t="s">
        <v>3525</v>
      </c>
      <c r="B4842" s="232" t="str">
        <f>INDEX(Orçamentária!A:B,MATCH(Composições!A4842,Orçamentária!A:A,0),2)</f>
        <v>Folha de porta em madeira e MDF 2,10x0,90m</v>
      </c>
      <c r="C4842" s="41"/>
      <c r="D4842" s="26" t="str">
        <f>TRIM(INDEX(Orçamentária!C:C,MATCH(Composições!A4842,Orçamentária!A:A,0),1))</f>
        <v>un</v>
      </c>
      <c r="E4842" s="27"/>
      <c r="F4842" s="42" t="s">
        <v>572</v>
      </c>
      <c r="G4842" s="28" t="str">
        <f t="shared" si="83"/>
        <v/>
      </c>
      <c r="H4842" s="29"/>
      <c r="I4842" s="30"/>
      <c r="J4842" s="156">
        <v>0</v>
      </c>
    </row>
    <row r="4843" spans="1:10" ht="15.75" hidden="1" thickBot="1" x14ac:dyDescent="0.3">
      <c r="A4843" s="231"/>
      <c r="B4843" s="233"/>
      <c r="C4843" s="32"/>
      <c r="D4843" s="32"/>
      <c r="E4843" s="33"/>
      <c r="F4843" s="43" t="s">
        <v>572</v>
      </c>
      <c r="G4843" s="31" t="str">
        <f t="shared" si="83"/>
        <v/>
      </c>
      <c r="H4843" s="35"/>
      <c r="I4843" s="31"/>
      <c r="J4843" s="156">
        <v>0</v>
      </c>
    </row>
    <row r="4844" spans="1:10" ht="51.75" hidden="1" thickBot="1" x14ac:dyDescent="0.3">
      <c r="A4844" s="231"/>
      <c r="B4844" s="233"/>
      <c r="C4844" s="36" t="s">
        <v>3818</v>
      </c>
      <c r="D4844" s="47" t="s">
        <v>299</v>
      </c>
      <c r="E4844" s="37">
        <v>1</v>
      </c>
      <c r="F4844" s="34">
        <v>222.23349999999999</v>
      </c>
      <c r="G4844" s="34">
        <f t="shared" si="83"/>
        <v>222.23349999999999</v>
      </c>
      <c r="H4844" s="39">
        <f>SUM(G4844:G4846)</f>
        <v>262.60248840000003</v>
      </c>
      <c r="I4844" s="40"/>
      <c r="J4844" s="156">
        <v>0</v>
      </c>
    </row>
    <row r="4845" spans="1:10" ht="15.75" hidden="1" thickBot="1" x14ac:dyDescent="0.3">
      <c r="A4845" s="231"/>
      <c r="B4845" s="233"/>
      <c r="C4845" s="36" t="s">
        <v>758</v>
      </c>
      <c r="D4845" s="47" t="s">
        <v>759</v>
      </c>
      <c r="E4845" s="37">
        <f>ROUND(1.678*0.8,4)</f>
        <v>1.3424</v>
      </c>
      <c r="F4845" s="31">
        <v>21.916499999999999</v>
      </c>
      <c r="G4845" s="34">
        <f t="shared" si="83"/>
        <v>29.420709599999999</v>
      </c>
      <c r="H4845" s="35"/>
      <c r="I4845" s="31"/>
      <c r="J4845" s="156">
        <v>0</v>
      </c>
    </row>
    <row r="4846" spans="1:10" ht="15.75" hidden="1" thickBot="1" x14ac:dyDescent="0.3">
      <c r="A4846" s="231"/>
      <c r="B4846" s="233"/>
      <c r="C4846" s="36" t="s">
        <v>760</v>
      </c>
      <c r="D4846" s="47" t="s">
        <v>759</v>
      </c>
      <c r="E4846" s="37">
        <f>ROUND(0.839*0.8,4)</f>
        <v>0.67120000000000002</v>
      </c>
      <c r="F4846" s="31">
        <v>16.311500000000002</v>
      </c>
      <c r="G4846" s="34">
        <f t="shared" si="83"/>
        <v>10.948278800000002</v>
      </c>
      <c r="H4846" s="35"/>
      <c r="I4846" s="31"/>
      <c r="J4846" s="156">
        <v>0</v>
      </c>
    </row>
    <row r="4847" spans="1:10" ht="15.75" hidden="1" thickBot="1" x14ac:dyDescent="0.3">
      <c r="A4847" s="231"/>
      <c r="B4847" s="233"/>
      <c r="C4847" s="36"/>
      <c r="D4847" s="47"/>
      <c r="E4847" s="37"/>
      <c r="F4847" s="34" t="s">
        <v>572</v>
      </c>
      <c r="G4847" s="34" t="str">
        <f t="shared" si="83"/>
        <v/>
      </c>
      <c r="H4847" s="35"/>
      <c r="I4847" s="31"/>
      <c r="J4847" s="156">
        <v>0</v>
      </c>
    </row>
    <row r="4848" spans="1:10" ht="15.75" hidden="1" thickBot="1" x14ac:dyDescent="0.3">
      <c r="A4848" s="230" t="s">
        <v>3526</v>
      </c>
      <c r="B4848" s="232" t="str">
        <f>INDEX(Orçamentária!A:B,MATCH(Composições!A4848,Orçamentária!A:A,0),2)</f>
        <v>Remoção de boiler</v>
      </c>
      <c r="C4848" s="41"/>
      <c r="D4848" s="26" t="str">
        <f>TRIM(INDEX(Orçamentária!C:C,MATCH(Composições!A4848,Orçamentária!A:A,0),1))</f>
        <v>un</v>
      </c>
      <c r="E4848" s="27"/>
      <c r="F4848" s="42" t="s">
        <v>572</v>
      </c>
      <c r="G4848" s="28" t="str">
        <f t="shared" si="83"/>
        <v/>
      </c>
      <c r="H4848" s="29"/>
      <c r="I4848" s="30"/>
      <c r="J4848" s="156">
        <v>0</v>
      </c>
    </row>
    <row r="4849" spans="1:10" ht="15.75" hidden="1" thickBot="1" x14ac:dyDescent="0.3">
      <c r="A4849" s="231"/>
      <c r="B4849" s="233"/>
      <c r="C4849" s="32"/>
      <c r="D4849" s="32"/>
      <c r="E4849" s="33"/>
      <c r="F4849" s="43" t="s">
        <v>572</v>
      </c>
      <c r="G4849" s="31" t="str">
        <f t="shared" si="83"/>
        <v/>
      </c>
      <c r="H4849" s="35"/>
      <c r="I4849" s="31"/>
      <c r="J4849" s="156">
        <v>0</v>
      </c>
    </row>
    <row r="4850" spans="1:10" ht="26.25" hidden="1" thickBot="1" x14ac:dyDescent="0.3">
      <c r="A4850" s="231"/>
      <c r="B4850" s="233"/>
      <c r="C4850" s="36" t="s">
        <v>1012</v>
      </c>
      <c r="D4850" s="47" t="s">
        <v>759</v>
      </c>
      <c r="E4850" s="37">
        <f>4*0.3</f>
        <v>1.2</v>
      </c>
      <c r="F4850" s="31">
        <v>16.891000000000002</v>
      </c>
      <c r="G4850" s="31">
        <f t="shared" si="83"/>
        <v>20.269200000000001</v>
      </c>
      <c r="H4850" s="39">
        <f>SUM(G4850:G4853)</f>
        <v>69.995999999999995</v>
      </c>
      <c r="I4850" s="40"/>
      <c r="J4850" s="156">
        <v>0</v>
      </c>
    </row>
    <row r="4851" spans="1:10" ht="26.25" hidden="1" thickBot="1" x14ac:dyDescent="0.3">
      <c r="A4851" s="231"/>
      <c r="B4851" s="233"/>
      <c r="C4851" s="36" t="s">
        <v>1013</v>
      </c>
      <c r="D4851" s="36" t="s">
        <v>759</v>
      </c>
      <c r="E4851" s="37">
        <f>4*0.3</f>
        <v>1.2</v>
      </c>
      <c r="F4851" s="31">
        <v>21.622</v>
      </c>
      <c r="G4851" s="31">
        <f t="shared" si="83"/>
        <v>25.946400000000001</v>
      </c>
      <c r="H4851" s="45"/>
      <c r="I4851" s="46"/>
      <c r="J4851" s="156">
        <v>0</v>
      </c>
    </row>
    <row r="4852" spans="1:10" ht="15.75" hidden="1" thickBot="1" x14ac:dyDescent="0.3">
      <c r="A4852" s="231"/>
      <c r="B4852" s="233"/>
      <c r="C4852" s="36" t="s">
        <v>74</v>
      </c>
      <c r="D4852" s="47" t="s">
        <v>759</v>
      </c>
      <c r="E4852" s="37">
        <f>2*0.3</f>
        <v>0.6</v>
      </c>
      <c r="F4852" s="31">
        <v>17.366</v>
      </c>
      <c r="G4852" s="31">
        <f t="shared" si="83"/>
        <v>10.419599999999999</v>
      </c>
      <c r="H4852" s="35"/>
      <c r="I4852" s="31"/>
      <c r="J4852" s="156">
        <v>0</v>
      </c>
    </row>
    <row r="4853" spans="1:10" ht="15.75" hidden="1" thickBot="1" x14ac:dyDescent="0.3">
      <c r="A4853" s="231"/>
      <c r="B4853" s="233"/>
      <c r="C4853" s="36" t="s">
        <v>30</v>
      </c>
      <c r="D4853" s="36" t="s">
        <v>759</v>
      </c>
      <c r="E4853" s="37">
        <f>2*0.3</f>
        <v>0.6</v>
      </c>
      <c r="F4853" s="31">
        <v>22.268000000000001</v>
      </c>
      <c r="G4853" s="31">
        <f t="shared" si="83"/>
        <v>13.360799999999999</v>
      </c>
      <c r="H4853" s="35"/>
      <c r="I4853" s="31"/>
      <c r="J4853" s="156">
        <v>0</v>
      </c>
    </row>
    <row r="4854" spans="1:10" ht="15.75" hidden="1" thickBot="1" x14ac:dyDescent="0.3">
      <c r="A4854" s="234"/>
      <c r="B4854" s="235"/>
      <c r="C4854" s="36"/>
      <c r="D4854" s="36"/>
      <c r="E4854" s="37"/>
      <c r="F4854" s="31" t="s">
        <v>572</v>
      </c>
      <c r="G4854" s="31" t="str">
        <f t="shared" si="83"/>
        <v/>
      </c>
      <c r="H4854" s="35"/>
      <c r="I4854" s="31"/>
      <c r="J4854" s="156">
        <v>0</v>
      </c>
    </row>
    <row r="4855" spans="1:10" ht="15.75" hidden="1" thickBot="1" x14ac:dyDescent="0.3">
      <c r="A4855" s="221" t="s">
        <v>3527</v>
      </c>
      <c r="B4855" s="224" t="str">
        <f>INDEX(Orçamentária!A:B,MATCH(Composições!A4855,Orçamentária!A:A,0),2)</f>
        <v>Remoção de tacos de madeira</v>
      </c>
      <c r="C4855" s="41"/>
      <c r="D4855" s="26" t="str">
        <f>TRIM(INDEX(Orçamentária!C:C,MATCH(Composições!A4855,Orçamentária!A:A,0),1))</f>
        <v>m2</v>
      </c>
      <c r="E4855" s="27"/>
      <c r="F4855" s="42" t="s">
        <v>572</v>
      </c>
      <c r="G4855" s="28" t="str">
        <f t="shared" si="83"/>
        <v/>
      </c>
      <c r="H4855" s="29"/>
      <c r="I4855" s="30"/>
      <c r="J4855" s="156">
        <v>0</v>
      </c>
    </row>
    <row r="4856" spans="1:10" ht="15.75" hidden="1" thickBot="1" x14ac:dyDescent="0.3">
      <c r="A4856" s="222"/>
      <c r="B4856" s="225"/>
      <c r="C4856" s="32"/>
      <c r="D4856" s="32"/>
      <c r="E4856" s="33"/>
      <c r="F4856" s="43" t="s">
        <v>572</v>
      </c>
      <c r="G4856" s="31" t="str">
        <f t="shared" si="83"/>
        <v/>
      </c>
      <c r="H4856" s="35"/>
      <c r="I4856" s="31"/>
      <c r="J4856" s="156">
        <v>0</v>
      </c>
    </row>
    <row r="4857" spans="1:10" ht="15.75" hidden="1" thickBot="1" x14ac:dyDescent="0.3">
      <c r="A4857" s="222"/>
      <c r="B4857" s="225"/>
      <c r="C4857" s="36" t="s">
        <v>758</v>
      </c>
      <c r="D4857" s="36" t="s">
        <v>759</v>
      </c>
      <c r="E4857" s="37">
        <v>0.12</v>
      </c>
      <c r="F4857" s="34">
        <v>21.916499999999999</v>
      </c>
      <c r="G4857" s="34">
        <f t="shared" si="83"/>
        <v>2.6299799999999998</v>
      </c>
      <c r="H4857" s="39">
        <f>SUM(G4857:G4858)</f>
        <v>24.79158</v>
      </c>
      <c r="I4857" s="40"/>
      <c r="J4857" s="156">
        <v>0</v>
      </c>
    </row>
    <row r="4858" spans="1:10" ht="15.75" hidden="1" thickBot="1" x14ac:dyDescent="0.3">
      <c r="A4858" s="222"/>
      <c r="B4858" s="225"/>
      <c r="C4858" s="36" t="s">
        <v>843</v>
      </c>
      <c r="D4858" s="36" t="s">
        <v>759</v>
      </c>
      <c r="E4858" s="37">
        <v>1.2</v>
      </c>
      <c r="F4858" s="34">
        <v>18.468</v>
      </c>
      <c r="G4858" s="34">
        <f t="shared" si="83"/>
        <v>22.1616</v>
      </c>
      <c r="H4858" s="45"/>
      <c r="I4858" s="46"/>
      <c r="J4858" s="156">
        <v>0</v>
      </c>
    </row>
    <row r="4859" spans="1:10" ht="15.75" hidden="1" thickBot="1" x14ac:dyDescent="0.3">
      <c r="A4859" s="223"/>
      <c r="B4859" s="226"/>
      <c r="C4859" s="36"/>
      <c r="D4859" s="36"/>
      <c r="E4859" s="37"/>
      <c r="F4859" s="31" t="s">
        <v>572</v>
      </c>
      <c r="G4859" s="31" t="str">
        <f t="shared" si="83"/>
        <v/>
      </c>
      <c r="H4859" s="35"/>
      <c r="I4859" s="31"/>
      <c r="J4859" s="156">
        <v>0</v>
      </c>
    </row>
    <row r="4860" spans="1:10" ht="15.75" hidden="1" thickBot="1" x14ac:dyDescent="0.3">
      <c r="A4860" s="221" t="s">
        <v>3528</v>
      </c>
      <c r="B4860" s="224" t="str">
        <f>INDEX(Orçamentária!A:B,MATCH(Composições!A4860,Orçamentária!A:A,0),2)</f>
        <v>Cerâmica 30x60cm - Glacier White - Portobello – Linha Residencial</v>
      </c>
      <c r="C4860" s="41"/>
      <c r="D4860" s="26" t="str">
        <f>TRIM(INDEX(Orçamentária!C:C,MATCH(Composições!A4860,Orçamentária!A:A,0),1))</f>
        <v>m2</v>
      </c>
      <c r="E4860" s="27"/>
      <c r="F4860" s="49" t="s">
        <v>572</v>
      </c>
      <c r="G4860" s="28" t="str">
        <f t="shared" ref="G4860:G4923" si="85">IF(ISNUMBER(F4860),E4860*F4860,"")</f>
        <v/>
      </c>
      <c r="H4860" s="29"/>
      <c r="I4860" s="30"/>
      <c r="J4860" s="156">
        <v>0</v>
      </c>
    </row>
    <row r="4861" spans="1:10" ht="15.75" hidden="1" thickBot="1" x14ac:dyDescent="0.3">
      <c r="A4861" s="227"/>
      <c r="B4861" s="225"/>
      <c r="C4861" s="32"/>
      <c r="D4861" s="32"/>
      <c r="E4861" s="33"/>
      <c r="F4861" s="54" t="s">
        <v>572</v>
      </c>
      <c r="G4861" s="54" t="str">
        <f t="shared" si="85"/>
        <v/>
      </c>
      <c r="H4861" s="73"/>
      <c r="I4861" s="74"/>
      <c r="J4861" s="156">
        <v>0</v>
      </c>
    </row>
    <row r="4862" spans="1:10" ht="26.25" hidden="1" thickBot="1" x14ac:dyDescent="0.3">
      <c r="A4862" s="227"/>
      <c r="B4862" s="225"/>
      <c r="C4862" s="36" t="s">
        <v>3669</v>
      </c>
      <c r="D4862" s="36" t="s">
        <v>96</v>
      </c>
      <c r="E4862" s="37">
        <v>1.08</v>
      </c>
      <c r="F4862" s="54" t="s">
        <v>572</v>
      </c>
      <c r="G4862" s="54" t="str">
        <f t="shared" si="85"/>
        <v/>
      </c>
      <c r="H4862" s="39">
        <f>SUM(G4862:G4866)</f>
        <v>25.792880000000004</v>
      </c>
      <c r="I4862" s="40"/>
      <c r="J4862" s="156">
        <v>0</v>
      </c>
    </row>
    <row r="4863" spans="1:10" ht="15.75" hidden="1" thickBot="1" x14ac:dyDescent="0.3">
      <c r="A4863" s="227"/>
      <c r="B4863" s="225"/>
      <c r="C4863" s="36" t="s">
        <v>3624</v>
      </c>
      <c r="D4863" s="36" t="s">
        <v>42</v>
      </c>
      <c r="E4863" s="37">
        <v>6.14</v>
      </c>
      <c r="F4863" s="54">
        <v>0.78849999999999998</v>
      </c>
      <c r="G4863" s="54">
        <f t="shared" si="85"/>
        <v>4.8413899999999996</v>
      </c>
      <c r="H4863" s="73"/>
      <c r="I4863" s="74"/>
      <c r="J4863" s="156">
        <v>0</v>
      </c>
    </row>
    <row r="4864" spans="1:10" ht="15.75" hidden="1" thickBot="1" x14ac:dyDescent="0.3">
      <c r="A4864" s="227"/>
      <c r="B4864" s="225"/>
      <c r="C4864" s="36" t="s">
        <v>3622</v>
      </c>
      <c r="D4864" s="36" t="s">
        <v>42</v>
      </c>
      <c r="E4864" s="37">
        <v>0.22</v>
      </c>
      <c r="F4864" s="54">
        <v>2.508</v>
      </c>
      <c r="G4864" s="54">
        <f t="shared" si="85"/>
        <v>0.55176000000000003</v>
      </c>
      <c r="H4864" s="73"/>
      <c r="I4864" s="74"/>
      <c r="J4864" s="156">
        <v>0</v>
      </c>
    </row>
    <row r="4865" spans="1:10" ht="15.75" hidden="1" thickBot="1" x14ac:dyDescent="0.3">
      <c r="A4865" s="227"/>
      <c r="B4865" s="225"/>
      <c r="C4865" s="36" t="s">
        <v>36</v>
      </c>
      <c r="D4865" s="36" t="s">
        <v>12</v>
      </c>
      <c r="E4865" s="37">
        <v>0.66</v>
      </c>
      <c r="F4865" s="54">
        <v>22.011500000000002</v>
      </c>
      <c r="G4865" s="54">
        <f t="shared" si="85"/>
        <v>14.527590000000002</v>
      </c>
      <c r="H4865" s="73"/>
      <c r="I4865" s="74"/>
      <c r="J4865" s="156">
        <v>0</v>
      </c>
    </row>
    <row r="4866" spans="1:10" ht="15.75" hidden="1" thickBot="1" x14ac:dyDescent="0.3">
      <c r="A4866" s="227"/>
      <c r="B4866" s="225"/>
      <c r="C4866" s="36" t="s">
        <v>23</v>
      </c>
      <c r="D4866" s="36" t="s">
        <v>12</v>
      </c>
      <c r="E4866" s="37">
        <v>0.36</v>
      </c>
      <c r="F4866" s="54">
        <v>16.311500000000002</v>
      </c>
      <c r="G4866" s="54">
        <f t="shared" si="85"/>
        <v>5.8721400000000008</v>
      </c>
      <c r="H4866" s="73"/>
      <c r="I4866" s="74"/>
      <c r="J4866" s="156">
        <v>0</v>
      </c>
    </row>
    <row r="4867" spans="1:10" ht="15.75" hidden="1" thickBot="1" x14ac:dyDescent="0.3">
      <c r="A4867" s="227"/>
      <c r="B4867" s="225"/>
      <c r="C4867" s="36"/>
      <c r="D4867" s="47"/>
      <c r="E4867" s="37"/>
      <c r="F4867" s="54" t="s">
        <v>572</v>
      </c>
      <c r="G4867" s="54" t="str">
        <f t="shared" si="85"/>
        <v/>
      </c>
      <c r="H4867" s="73"/>
      <c r="I4867" s="74"/>
      <c r="J4867" s="156">
        <v>0</v>
      </c>
    </row>
    <row r="4868" spans="1:10" ht="15.75" hidden="1" thickBot="1" x14ac:dyDescent="0.3">
      <c r="A4868" s="230" t="s">
        <v>3529</v>
      </c>
      <c r="B4868" s="232" t="str">
        <f>INDEX(Orçamentária!A:B,MATCH(Composições!A4868,Orçamentária!A:A,0),2)</f>
        <v>Instalação de tacos de madeira reaproveitados</v>
      </c>
      <c r="C4868" s="41"/>
      <c r="D4868" s="26" t="str">
        <f>TRIM(INDEX(Orçamentária!C:C,MATCH(Composições!A4868,Orçamentária!A:A,0),1))</f>
        <v>m2</v>
      </c>
      <c r="E4868" s="27"/>
      <c r="F4868" s="42" t="s">
        <v>572</v>
      </c>
      <c r="G4868" s="28" t="str">
        <f t="shared" si="85"/>
        <v/>
      </c>
      <c r="H4868" s="29"/>
      <c r="I4868" s="30"/>
      <c r="J4868" s="156">
        <v>0</v>
      </c>
    </row>
    <row r="4869" spans="1:10" ht="15.75" hidden="1" thickBot="1" x14ac:dyDescent="0.3">
      <c r="A4869" s="231"/>
      <c r="B4869" s="233"/>
      <c r="C4869" s="32"/>
      <c r="D4869" s="32"/>
      <c r="E4869" s="33"/>
      <c r="F4869" s="43" t="s">
        <v>572</v>
      </c>
      <c r="G4869" s="31" t="str">
        <f t="shared" si="85"/>
        <v/>
      </c>
      <c r="H4869" s="35"/>
      <c r="I4869" s="31"/>
      <c r="J4869" s="156">
        <v>0</v>
      </c>
    </row>
    <row r="4870" spans="1:10" ht="15.75" hidden="1" thickBot="1" x14ac:dyDescent="0.3">
      <c r="A4870" s="231"/>
      <c r="B4870" s="233"/>
      <c r="C4870" s="36" t="s">
        <v>1313</v>
      </c>
      <c r="D4870" s="36" t="s">
        <v>105</v>
      </c>
      <c r="E4870" s="37">
        <v>0.57499999999999996</v>
      </c>
      <c r="F4870" s="34">
        <v>17.499000000000002</v>
      </c>
      <c r="G4870" s="34">
        <f t="shared" si="85"/>
        <v>10.061925</v>
      </c>
      <c r="H4870" s="39">
        <f>SUM(G4870:G4872)</f>
        <v>28.681236249999998</v>
      </c>
      <c r="I4870" s="40"/>
      <c r="J4870" s="156">
        <v>0</v>
      </c>
    </row>
    <row r="4871" spans="1:10" ht="15.75" hidden="1" thickBot="1" x14ac:dyDescent="0.3">
      <c r="A4871" s="231"/>
      <c r="B4871" s="233"/>
      <c r="C4871" s="36" t="s">
        <v>760</v>
      </c>
      <c r="D4871" s="36" t="s">
        <v>759</v>
      </c>
      <c r="E4871" s="37">
        <v>0.2399</v>
      </c>
      <c r="F4871" s="34">
        <v>16.311500000000002</v>
      </c>
      <c r="G4871" s="34">
        <f t="shared" si="85"/>
        <v>3.9131288500000005</v>
      </c>
      <c r="H4871" s="45"/>
      <c r="I4871" s="46"/>
      <c r="J4871" s="156">
        <v>0</v>
      </c>
    </row>
    <row r="4872" spans="1:10" ht="15.75" hidden="1" thickBot="1" x14ac:dyDescent="0.3">
      <c r="A4872" s="231"/>
      <c r="B4872" s="233"/>
      <c r="C4872" s="36" t="s">
        <v>1291</v>
      </c>
      <c r="D4872" s="47" t="s">
        <v>759</v>
      </c>
      <c r="E4872" s="37">
        <v>0.57589999999999997</v>
      </c>
      <c r="F4872" s="31">
        <v>25.535999999999998</v>
      </c>
      <c r="G4872" s="31">
        <f t="shared" si="85"/>
        <v>14.706182399999998</v>
      </c>
      <c r="H4872" s="35"/>
      <c r="I4872" s="31"/>
      <c r="J4872" s="156">
        <v>0</v>
      </c>
    </row>
    <row r="4873" spans="1:10" ht="15.75" hidden="1" thickBot="1" x14ac:dyDescent="0.3">
      <c r="A4873" s="234"/>
      <c r="B4873" s="235"/>
      <c r="C4873" s="36"/>
      <c r="D4873" s="36"/>
      <c r="E4873" s="37"/>
      <c r="F4873" s="31" t="s">
        <v>572</v>
      </c>
      <c r="G4873" s="31" t="str">
        <f t="shared" si="85"/>
        <v/>
      </c>
      <c r="H4873" s="35"/>
      <c r="I4873" s="31"/>
      <c r="J4873" s="156">
        <v>0</v>
      </c>
    </row>
    <row r="4874" spans="1:10" ht="15.75" hidden="1" thickBot="1" x14ac:dyDescent="0.3">
      <c r="A4874" s="230" t="s">
        <v>3534</v>
      </c>
      <c r="B4874" s="232" t="str">
        <f>INDEX(Orçamentária!A:B,MATCH(Composições!A4874,Orçamentária!A:A,0),2)</f>
        <v>Instalação de cortinas reaproveitadas</v>
      </c>
      <c r="C4874" s="41"/>
      <c r="D4874" s="26" t="str">
        <f>TRIM(INDEX(Orçamentária!C:C,MATCH(Composições!A4874,Orçamentária!A:A,0),1))</f>
        <v>m</v>
      </c>
      <c r="E4874" s="27"/>
      <c r="F4874" s="42" t="s">
        <v>572</v>
      </c>
      <c r="G4874" s="28" t="str">
        <f t="shared" si="85"/>
        <v/>
      </c>
      <c r="H4874" s="29"/>
      <c r="I4874" s="30"/>
      <c r="J4874" s="156">
        <v>0</v>
      </c>
    </row>
    <row r="4875" spans="1:10" ht="15.75" hidden="1" thickBot="1" x14ac:dyDescent="0.3">
      <c r="A4875" s="231"/>
      <c r="B4875" s="233"/>
      <c r="C4875" s="32"/>
      <c r="D4875" s="32"/>
      <c r="E4875" s="33"/>
      <c r="F4875" s="43" t="s">
        <v>572</v>
      </c>
      <c r="G4875" s="31" t="str">
        <f t="shared" si="85"/>
        <v/>
      </c>
      <c r="H4875" s="35"/>
      <c r="I4875" s="31"/>
      <c r="J4875" s="156">
        <v>0</v>
      </c>
    </row>
    <row r="4876" spans="1:10" ht="15.75" hidden="1" thickBot="1" x14ac:dyDescent="0.3">
      <c r="A4876" s="231"/>
      <c r="B4876" s="233"/>
      <c r="C4876" s="36" t="s">
        <v>1474</v>
      </c>
      <c r="D4876" s="36" t="s">
        <v>759</v>
      </c>
      <c r="E4876" s="37">
        <v>0.5</v>
      </c>
      <c r="F4876" s="34">
        <v>19.3705</v>
      </c>
      <c r="G4876" s="34">
        <f t="shared" si="85"/>
        <v>9.6852499999999999</v>
      </c>
      <c r="H4876" s="39">
        <f>SUM(G4876:G4876)</f>
        <v>9.6852499999999999</v>
      </c>
      <c r="I4876" s="40"/>
      <c r="J4876" s="156">
        <v>0</v>
      </c>
    </row>
    <row r="4877" spans="1:10" ht="15.75" hidden="1" thickBot="1" x14ac:dyDescent="0.3">
      <c r="A4877" s="234"/>
      <c r="B4877" s="235"/>
      <c r="C4877" s="36"/>
      <c r="D4877" s="36"/>
      <c r="E4877" s="37"/>
      <c r="F4877" s="31" t="s">
        <v>572</v>
      </c>
      <c r="G4877" s="31" t="str">
        <f t="shared" si="85"/>
        <v/>
      </c>
      <c r="H4877" s="35"/>
      <c r="I4877" s="31"/>
      <c r="J4877" s="156">
        <v>0</v>
      </c>
    </row>
    <row r="4878" spans="1:10" ht="15.75" hidden="1" thickBot="1" x14ac:dyDescent="0.3">
      <c r="A4878" s="230" t="s">
        <v>3535</v>
      </c>
      <c r="B4878" s="232" t="str">
        <f>INDEX(Orçamentária!A:B,MATCH(Composições!A4878,Orçamentária!A:A,0),2)</f>
        <v>Tubo CPVC soldável 22mm – Linha Residencial</v>
      </c>
      <c r="C4878" s="41"/>
      <c r="D4878" s="26" t="str">
        <f>TRIM(INDEX(Orçamentária!C:C,MATCH(Composições!A4878,Orçamentária!A:A,0),1))</f>
        <v>m</v>
      </c>
      <c r="E4878" s="27"/>
      <c r="F4878" s="42" t="s">
        <v>572</v>
      </c>
      <c r="G4878" s="28" t="str">
        <f t="shared" si="85"/>
        <v/>
      </c>
      <c r="H4878" s="29"/>
      <c r="I4878" s="30"/>
      <c r="J4878" s="156">
        <v>0</v>
      </c>
    </row>
    <row r="4879" spans="1:10" ht="15.75" hidden="1" thickBot="1" x14ac:dyDescent="0.3">
      <c r="A4879" s="231"/>
      <c r="B4879" s="233"/>
      <c r="C4879" s="32"/>
      <c r="D4879" s="32"/>
      <c r="E4879" s="33"/>
      <c r="F4879" s="43" t="s">
        <v>572</v>
      </c>
      <c r="G4879" s="31" t="str">
        <f t="shared" si="85"/>
        <v/>
      </c>
      <c r="H4879" s="35"/>
      <c r="I4879" s="31"/>
      <c r="J4879" s="156">
        <v>0</v>
      </c>
    </row>
    <row r="4880" spans="1:10" ht="15.75" hidden="1" thickBot="1" x14ac:dyDescent="0.3">
      <c r="A4880" s="231"/>
      <c r="B4880" s="233"/>
      <c r="C4880" s="36" t="s">
        <v>3483</v>
      </c>
      <c r="D4880" s="36" t="s">
        <v>527</v>
      </c>
      <c r="E4880" s="37">
        <v>1.0609999999999999</v>
      </c>
      <c r="F4880" s="34">
        <v>12.3405</v>
      </c>
      <c r="G4880" s="34">
        <f t="shared" si="85"/>
        <v>13.093270499999999</v>
      </c>
      <c r="H4880" s="39">
        <f>SUM(G4880:G4882)</f>
        <v>26.1491775</v>
      </c>
      <c r="I4880" s="40"/>
      <c r="J4880" s="156">
        <v>0</v>
      </c>
    </row>
    <row r="4881" spans="1:10" ht="26.25" hidden="1" thickBot="1" x14ac:dyDescent="0.3">
      <c r="A4881" s="231"/>
      <c r="B4881" s="233"/>
      <c r="C4881" s="36" t="s">
        <v>1012</v>
      </c>
      <c r="D4881" s="36" t="s">
        <v>759</v>
      </c>
      <c r="E4881" s="37">
        <v>0.33900000000000002</v>
      </c>
      <c r="F4881" s="34">
        <v>16.891000000000002</v>
      </c>
      <c r="G4881" s="34">
        <f t="shared" si="85"/>
        <v>5.7260490000000006</v>
      </c>
      <c r="H4881" s="45"/>
      <c r="I4881" s="46"/>
      <c r="J4881" s="156">
        <v>0</v>
      </c>
    </row>
    <row r="4882" spans="1:10" ht="26.25" hidden="1" thickBot="1" x14ac:dyDescent="0.3">
      <c r="A4882" s="231"/>
      <c r="B4882" s="233"/>
      <c r="C4882" s="36" t="s">
        <v>1013</v>
      </c>
      <c r="D4882" s="47" t="s">
        <v>759</v>
      </c>
      <c r="E4882" s="37">
        <v>0.33900000000000002</v>
      </c>
      <c r="F4882" s="31">
        <v>21.622</v>
      </c>
      <c r="G4882" s="31">
        <f t="shared" si="85"/>
        <v>7.3298580000000007</v>
      </c>
      <c r="H4882" s="35"/>
      <c r="I4882" s="31"/>
      <c r="J4882" s="156">
        <v>0</v>
      </c>
    </row>
    <row r="4883" spans="1:10" ht="15.75" hidden="1" thickBot="1" x14ac:dyDescent="0.3">
      <c r="A4883" s="234"/>
      <c r="B4883" s="235"/>
      <c r="C4883" s="36"/>
      <c r="D4883" s="36"/>
      <c r="E4883" s="37"/>
      <c r="F4883" s="31" t="s">
        <v>572</v>
      </c>
      <c r="G4883" s="31" t="str">
        <f t="shared" si="85"/>
        <v/>
      </c>
      <c r="H4883" s="35"/>
      <c r="I4883" s="31"/>
      <c r="J4883" s="156">
        <v>0</v>
      </c>
    </row>
    <row r="4884" spans="1:10" ht="15.75" hidden="1" thickBot="1" x14ac:dyDescent="0.3">
      <c r="A4884" s="230" t="s">
        <v>3536</v>
      </c>
      <c r="B4884" s="232" t="str">
        <f>INDEX(Orçamentária!A:B,MATCH(Composições!A4884,Orçamentária!A:A,0),2)</f>
        <v>Tubo CPVC soldável 28mm – Linha Residencial</v>
      </c>
      <c r="C4884" s="41"/>
      <c r="D4884" s="26" t="str">
        <f>TRIM(INDEX(Orçamentária!C:C,MATCH(Composições!A4884,Orçamentária!A:A,0),1))</f>
        <v>m</v>
      </c>
      <c r="E4884" s="27"/>
      <c r="F4884" s="42" t="s">
        <v>572</v>
      </c>
      <c r="G4884" s="28" t="str">
        <f t="shared" si="85"/>
        <v/>
      </c>
      <c r="H4884" s="29"/>
      <c r="I4884" s="30"/>
      <c r="J4884" s="156">
        <v>0</v>
      </c>
    </row>
    <row r="4885" spans="1:10" ht="15.75" hidden="1" thickBot="1" x14ac:dyDescent="0.3">
      <c r="A4885" s="231"/>
      <c r="B4885" s="233"/>
      <c r="C4885" s="32"/>
      <c r="D4885" s="32"/>
      <c r="E4885" s="33"/>
      <c r="F4885" s="43" t="s">
        <v>572</v>
      </c>
      <c r="G4885" s="31" t="str">
        <f t="shared" si="85"/>
        <v/>
      </c>
      <c r="H4885" s="35"/>
      <c r="I4885" s="31"/>
      <c r="J4885" s="156">
        <v>0</v>
      </c>
    </row>
    <row r="4886" spans="1:10" ht="15.75" hidden="1" thickBot="1" x14ac:dyDescent="0.3">
      <c r="A4886" s="231"/>
      <c r="B4886" s="233"/>
      <c r="C4886" s="36" t="s">
        <v>3484</v>
      </c>
      <c r="D4886" s="36" t="s">
        <v>527</v>
      </c>
      <c r="E4886" s="37">
        <v>1.0609999999999999</v>
      </c>
      <c r="F4886" s="34">
        <v>19.817</v>
      </c>
      <c r="G4886" s="34">
        <f t="shared" si="85"/>
        <v>21.025836999999999</v>
      </c>
      <c r="H4886" s="39">
        <f>SUM(G4886:G4888)</f>
        <v>36.431037000000003</v>
      </c>
      <c r="I4886" s="40"/>
      <c r="J4886" s="156">
        <v>0</v>
      </c>
    </row>
    <row r="4887" spans="1:10" ht="26.25" hidden="1" thickBot="1" x14ac:dyDescent="0.3">
      <c r="A4887" s="231"/>
      <c r="B4887" s="233"/>
      <c r="C4887" s="36" t="s">
        <v>1012</v>
      </c>
      <c r="D4887" s="36" t="s">
        <v>759</v>
      </c>
      <c r="E4887" s="37">
        <v>0.4</v>
      </c>
      <c r="F4887" s="34">
        <v>16.891000000000002</v>
      </c>
      <c r="G4887" s="34">
        <f t="shared" si="85"/>
        <v>6.7564000000000011</v>
      </c>
      <c r="H4887" s="45"/>
      <c r="I4887" s="46"/>
      <c r="J4887" s="156">
        <v>0</v>
      </c>
    </row>
    <row r="4888" spans="1:10" ht="26.25" hidden="1" thickBot="1" x14ac:dyDescent="0.3">
      <c r="A4888" s="231"/>
      <c r="B4888" s="233"/>
      <c r="C4888" s="36" t="s">
        <v>1013</v>
      </c>
      <c r="D4888" s="47" t="s">
        <v>759</v>
      </c>
      <c r="E4888" s="37">
        <v>0.4</v>
      </c>
      <c r="F4888" s="31">
        <v>21.622</v>
      </c>
      <c r="G4888" s="31">
        <f t="shared" si="85"/>
        <v>8.6487999999999996</v>
      </c>
      <c r="H4888" s="35"/>
      <c r="I4888" s="31"/>
      <c r="J4888" s="156">
        <v>0</v>
      </c>
    </row>
    <row r="4889" spans="1:10" ht="15.75" hidden="1" thickBot="1" x14ac:dyDescent="0.3">
      <c r="A4889" s="234"/>
      <c r="B4889" s="235"/>
      <c r="C4889" s="36"/>
      <c r="D4889" s="36"/>
      <c r="E4889" s="37"/>
      <c r="F4889" s="31" t="s">
        <v>572</v>
      </c>
      <c r="G4889" s="31" t="str">
        <f t="shared" si="85"/>
        <v/>
      </c>
      <c r="H4889" s="35"/>
      <c r="I4889" s="31"/>
      <c r="J4889" s="156">
        <v>0</v>
      </c>
    </row>
    <row r="4890" spans="1:10" ht="15.75" hidden="1" thickBot="1" x14ac:dyDescent="0.3">
      <c r="A4890" s="221" t="s">
        <v>3537</v>
      </c>
      <c r="B4890" s="224" t="str">
        <f>INDEX(Orçamentária!A:B,MATCH(Composições!A4890,Orçamentária!A:A,0),2)</f>
        <v>Instalação de bidê reaproveitado</v>
      </c>
      <c r="C4890" s="41"/>
      <c r="D4890" s="26" t="str">
        <f>TRIM(INDEX(Orçamentária!C:C,MATCH(Composições!A4890,Orçamentária!A:A,0),1))</f>
        <v>un</v>
      </c>
      <c r="E4890" s="27"/>
      <c r="F4890" s="42" t="s">
        <v>572</v>
      </c>
      <c r="G4890" s="28" t="str">
        <f t="shared" si="85"/>
        <v/>
      </c>
      <c r="H4890" s="29"/>
      <c r="I4890" s="30"/>
      <c r="J4890" s="156">
        <v>0</v>
      </c>
    </row>
    <row r="4891" spans="1:10" ht="15.75" hidden="1" thickBot="1" x14ac:dyDescent="0.3">
      <c r="A4891" s="222"/>
      <c r="B4891" s="225"/>
      <c r="C4891" s="32"/>
      <c r="D4891" s="32"/>
      <c r="E4891" s="33"/>
      <c r="F4891" s="43" t="s">
        <v>572</v>
      </c>
      <c r="G4891" s="31" t="str">
        <f t="shared" si="85"/>
        <v/>
      </c>
      <c r="H4891" s="35"/>
      <c r="I4891" s="31"/>
      <c r="J4891" s="156">
        <v>0</v>
      </c>
    </row>
    <row r="4892" spans="1:10" ht="26.25" hidden="1" thickBot="1" x14ac:dyDescent="0.3">
      <c r="A4892" s="222"/>
      <c r="B4892" s="225"/>
      <c r="C4892" s="36" t="s">
        <v>367</v>
      </c>
      <c r="D4892" s="47" t="s">
        <v>299</v>
      </c>
      <c r="E4892" s="37">
        <v>2</v>
      </c>
      <c r="F4892" s="34">
        <v>10.953499999999998</v>
      </c>
      <c r="G4892" s="34">
        <f t="shared" si="85"/>
        <v>21.906999999999996</v>
      </c>
      <c r="H4892" s="39">
        <f>SUM(G4892:G4895)</f>
        <v>43.007305599999995</v>
      </c>
      <c r="I4892" s="40"/>
      <c r="J4892" s="156">
        <v>0</v>
      </c>
    </row>
    <row r="4893" spans="1:10" ht="15.75" hidden="1" thickBot="1" x14ac:dyDescent="0.3">
      <c r="A4893" s="222"/>
      <c r="B4893" s="225"/>
      <c r="C4893" s="36" t="s">
        <v>3625</v>
      </c>
      <c r="D4893" s="47" t="s">
        <v>42</v>
      </c>
      <c r="E4893" s="37">
        <v>8.8099999999999998E-2</v>
      </c>
      <c r="F4893" s="34">
        <v>52.8675</v>
      </c>
      <c r="G4893" s="34">
        <f t="shared" si="85"/>
        <v>4.6576267499999995</v>
      </c>
      <c r="H4893" s="35"/>
      <c r="I4893" s="31"/>
      <c r="J4893" s="156">
        <v>0</v>
      </c>
    </row>
    <row r="4894" spans="1:10" ht="15.75" hidden="1" thickBot="1" x14ac:dyDescent="0.3">
      <c r="A4894" s="222"/>
      <c r="B4894" s="225"/>
      <c r="C4894" s="36" t="s">
        <v>39</v>
      </c>
      <c r="D4894" s="47" t="s">
        <v>12</v>
      </c>
      <c r="E4894" s="37">
        <v>0.49680000000000002</v>
      </c>
      <c r="F4894" s="31">
        <v>21.622</v>
      </c>
      <c r="G4894" s="34">
        <f t="shared" si="85"/>
        <v>10.7418096</v>
      </c>
      <c r="H4894" s="35"/>
      <c r="I4894" s="31"/>
      <c r="J4894" s="156">
        <v>0</v>
      </c>
    </row>
    <row r="4895" spans="1:10" ht="15.75" hidden="1" thickBot="1" x14ac:dyDescent="0.3">
      <c r="A4895" s="222"/>
      <c r="B4895" s="225"/>
      <c r="C4895" s="36" t="s">
        <v>23</v>
      </c>
      <c r="D4895" s="47" t="s">
        <v>12</v>
      </c>
      <c r="E4895" s="37">
        <v>0.34949999999999998</v>
      </c>
      <c r="F4895" s="31">
        <v>16.311500000000002</v>
      </c>
      <c r="G4895" s="34">
        <f t="shared" si="85"/>
        <v>5.7008692500000002</v>
      </c>
      <c r="H4895" s="35"/>
      <c r="I4895" s="31"/>
      <c r="J4895" s="156">
        <v>0</v>
      </c>
    </row>
    <row r="4896" spans="1:10" ht="15.75" hidden="1" thickBot="1" x14ac:dyDescent="0.3">
      <c r="A4896" s="223"/>
      <c r="B4896" s="226"/>
      <c r="C4896" s="36"/>
      <c r="D4896" s="36"/>
      <c r="E4896" s="37"/>
      <c r="F4896" s="31" t="s">
        <v>572</v>
      </c>
      <c r="G4896" s="31" t="str">
        <f t="shared" si="85"/>
        <v/>
      </c>
      <c r="H4896" s="35"/>
      <c r="I4896" s="31"/>
      <c r="J4896" s="156">
        <v>0</v>
      </c>
    </row>
    <row r="4897" spans="1:10" ht="15.75" hidden="1" thickBot="1" x14ac:dyDescent="0.3">
      <c r="A4897" s="221" t="s">
        <v>3538</v>
      </c>
      <c r="B4897" s="224" t="str">
        <f>INDEX(Orçamentária!A:B,MATCH(Composições!A4897,Orçamentária!A:A,0),2)</f>
        <v>Aquecedor elétrico para pia – Linha Residencial</v>
      </c>
      <c r="C4897" s="41"/>
      <c r="D4897" s="26" t="str">
        <f>TRIM(INDEX(Orçamentária!C:C,MATCH(Composições!A4897,Orçamentária!A:A,0),1))</f>
        <v>un</v>
      </c>
      <c r="E4897" s="27"/>
      <c r="F4897" s="42" t="s">
        <v>572</v>
      </c>
      <c r="G4897" s="28" t="str">
        <f t="shared" si="85"/>
        <v/>
      </c>
      <c r="H4897" s="29"/>
      <c r="I4897" s="30"/>
      <c r="J4897" s="156">
        <v>0</v>
      </c>
    </row>
    <row r="4898" spans="1:10" ht="15.75" hidden="1" thickBot="1" x14ac:dyDescent="0.3">
      <c r="A4898" s="222"/>
      <c r="B4898" s="225"/>
      <c r="C4898" s="32"/>
      <c r="D4898" s="32"/>
      <c r="E4898" s="33"/>
      <c r="F4898" s="43" t="s">
        <v>572</v>
      </c>
      <c r="G4898" s="31" t="str">
        <f t="shared" si="85"/>
        <v/>
      </c>
      <c r="H4898" s="35"/>
      <c r="I4898" s="31"/>
      <c r="J4898" s="156">
        <v>0</v>
      </c>
    </row>
    <row r="4899" spans="1:10" ht="26.25" hidden="1" thickBot="1" x14ac:dyDescent="0.3">
      <c r="A4899" s="222"/>
      <c r="B4899" s="225"/>
      <c r="C4899" s="36" t="s">
        <v>1013</v>
      </c>
      <c r="D4899" s="47" t="s">
        <v>759</v>
      </c>
      <c r="E4899" s="37">
        <v>0.5</v>
      </c>
      <c r="F4899" s="31">
        <v>21.622</v>
      </c>
      <c r="G4899" s="31">
        <f t="shared" si="85"/>
        <v>10.811</v>
      </c>
      <c r="H4899" s="39">
        <f>SUM(G4899:G4902)</f>
        <v>19.384913400000002</v>
      </c>
      <c r="I4899" s="40"/>
      <c r="J4899" s="156">
        <v>0</v>
      </c>
    </row>
    <row r="4900" spans="1:10" ht="26.25" hidden="1" thickBot="1" x14ac:dyDescent="0.3">
      <c r="A4900" s="222"/>
      <c r="B4900" s="225"/>
      <c r="C4900" s="36" t="s">
        <v>1012</v>
      </c>
      <c r="D4900" s="36" t="s">
        <v>759</v>
      </c>
      <c r="E4900" s="37">
        <v>0.5</v>
      </c>
      <c r="F4900" s="34">
        <v>16.891000000000002</v>
      </c>
      <c r="G4900" s="34">
        <f t="shared" si="85"/>
        <v>8.4455000000000009</v>
      </c>
      <c r="H4900" s="35"/>
      <c r="I4900" s="31"/>
      <c r="J4900" s="156">
        <v>0</v>
      </c>
    </row>
    <row r="4901" spans="1:10" ht="15.75" hidden="1" thickBot="1" x14ac:dyDescent="0.3">
      <c r="A4901" s="222"/>
      <c r="B4901" s="225"/>
      <c r="C4901" s="36" t="s">
        <v>350</v>
      </c>
      <c r="D4901" s="36" t="s">
        <v>299</v>
      </c>
      <c r="E4901" s="37">
        <f>0.47/50</f>
        <v>9.3999999999999986E-3</v>
      </c>
      <c r="F4901" s="34">
        <v>13.661</v>
      </c>
      <c r="G4901" s="34">
        <f t="shared" si="85"/>
        <v>0.12841339999999998</v>
      </c>
      <c r="H4901" s="35"/>
      <c r="I4901" s="31"/>
      <c r="J4901" s="156">
        <v>0</v>
      </c>
    </row>
    <row r="4902" spans="1:10" ht="15.75" hidden="1" thickBot="1" x14ac:dyDescent="0.3">
      <c r="A4902" s="222"/>
      <c r="B4902" s="225"/>
      <c r="C4902" s="36" t="s">
        <v>3670</v>
      </c>
      <c r="D4902" s="36" t="s">
        <v>299</v>
      </c>
      <c r="E4902" s="37">
        <v>1</v>
      </c>
      <c r="F4902" s="31" t="s">
        <v>572</v>
      </c>
      <c r="G4902" s="34" t="str">
        <f t="shared" si="85"/>
        <v/>
      </c>
      <c r="H4902" s="35"/>
      <c r="I4902" s="31"/>
      <c r="J4902" s="156">
        <v>0</v>
      </c>
    </row>
    <row r="4903" spans="1:10" ht="15.75" hidden="1" thickBot="1" x14ac:dyDescent="0.3">
      <c r="A4903" s="223"/>
      <c r="B4903" s="226"/>
      <c r="C4903" s="36"/>
      <c r="D4903" s="36"/>
      <c r="E4903" s="37"/>
      <c r="F4903" s="31" t="s">
        <v>572</v>
      </c>
      <c r="G4903" s="31" t="str">
        <f t="shared" si="85"/>
        <v/>
      </c>
      <c r="H4903" s="35"/>
      <c r="I4903" s="31"/>
      <c r="J4903" s="156">
        <v>0</v>
      </c>
    </row>
    <row r="4904" spans="1:10" ht="15.75" hidden="1" thickBot="1" x14ac:dyDescent="0.3">
      <c r="A4904" s="221" t="s">
        <v>3539</v>
      </c>
      <c r="B4904" s="224" t="str">
        <f>INDEX(Orçamentária!A:B,MATCH(Composições!A4904,Orçamentária!A:A,0),2)</f>
        <v>Chuveiro elétrico – Linha Residencial</v>
      </c>
      <c r="C4904" s="41"/>
      <c r="D4904" s="26" t="str">
        <f>TRIM(INDEX(Orçamentária!C:C,MATCH(Composições!A4904,Orçamentária!A:A,0),1))</f>
        <v>un</v>
      </c>
      <c r="E4904" s="27"/>
      <c r="F4904" s="49" t="s">
        <v>572</v>
      </c>
      <c r="G4904" s="28" t="str">
        <f t="shared" si="85"/>
        <v/>
      </c>
      <c r="H4904" s="29"/>
      <c r="I4904" s="30"/>
      <c r="J4904" s="156">
        <v>0</v>
      </c>
    </row>
    <row r="4905" spans="1:10" ht="15.75" hidden="1" thickBot="1" x14ac:dyDescent="0.3">
      <c r="A4905" s="227"/>
      <c r="B4905" s="225"/>
      <c r="C4905" s="32"/>
      <c r="D4905" s="32"/>
      <c r="E4905" s="33"/>
      <c r="F4905" s="54" t="s">
        <v>572</v>
      </c>
      <c r="G4905" s="54" t="str">
        <f t="shared" si="85"/>
        <v/>
      </c>
      <c r="H4905" s="73"/>
      <c r="I4905" s="74"/>
      <c r="J4905" s="156">
        <v>0</v>
      </c>
    </row>
    <row r="4906" spans="1:10" ht="15.75" hidden="1" thickBot="1" x14ac:dyDescent="0.3">
      <c r="A4906" s="227"/>
      <c r="B4906" s="225"/>
      <c r="C4906" s="36" t="s">
        <v>3777</v>
      </c>
      <c r="D4906" s="36" t="s">
        <v>299</v>
      </c>
      <c r="E4906" s="37">
        <v>1</v>
      </c>
      <c r="F4906" s="54" t="s">
        <v>572</v>
      </c>
      <c r="G4906" s="54" t="str">
        <f t="shared" si="85"/>
        <v/>
      </c>
      <c r="H4906" s="39">
        <f>SUM(G4906:G4909)</f>
        <v>12.03138045</v>
      </c>
      <c r="I4906" s="40"/>
      <c r="J4906" s="156">
        <v>0</v>
      </c>
    </row>
    <row r="4907" spans="1:10" ht="15.75" hidden="1" thickBot="1" x14ac:dyDescent="0.3">
      <c r="A4907" s="227"/>
      <c r="B4907" s="225"/>
      <c r="C4907" s="36" t="s">
        <v>1129</v>
      </c>
      <c r="D4907" s="36" t="s">
        <v>299</v>
      </c>
      <c r="E4907" s="37">
        <v>2.1000000000000001E-2</v>
      </c>
      <c r="F4907" s="54">
        <v>3.7049999999999996</v>
      </c>
      <c r="G4907" s="54">
        <f t="shared" si="85"/>
        <v>7.7804999999999999E-2</v>
      </c>
      <c r="H4907" s="73"/>
      <c r="I4907" s="74"/>
      <c r="J4907" s="156">
        <v>0</v>
      </c>
    </row>
    <row r="4908" spans="1:10" ht="26.25" hidden="1" thickBot="1" x14ac:dyDescent="0.3">
      <c r="A4908" s="227"/>
      <c r="B4908" s="225"/>
      <c r="C4908" s="36" t="s">
        <v>1013</v>
      </c>
      <c r="D4908" s="36" t="s">
        <v>759</v>
      </c>
      <c r="E4908" s="37">
        <v>0.44669999999999999</v>
      </c>
      <c r="F4908" s="54">
        <v>21.622</v>
      </c>
      <c r="G4908" s="54">
        <f t="shared" si="85"/>
        <v>9.6585473999999998</v>
      </c>
      <c r="H4908" s="73"/>
      <c r="I4908" s="74"/>
      <c r="J4908" s="156">
        <v>0</v>
      </c>
    </row>
    <row r="4909" spans="1:10" ht="15.75" hidden="1" thickBot="1" x14ac:dyDescent="0.3">
      <c r="A4909" s="227"/>
      <c r="B4909" s="225"/>
      <c r="C4909" s="36" t="s">
        <v>760</v>
      </c>
      <c r="D4909" s="36" t="s">
        <v>759</v>
      </c>
      <c r="E4909" s="37">
        <v>0.14069999999999999</v>
      </c>
      <c r="F4909" s="54">
        <v>16.311500000000002</v>
      </c>
      <c r="G4909" s="54">
        <f t="shared" si="85"/>
        <v>2.29502805</v>
      </c>
      <c r="H4909" s="73"/>
      <c r="I4909" s="74"/>
      <c r="J4909" s="156">
        <v>0</v>
      </c>
    </row>
    <row r="4910" spans="1:10" ht="15.75" hidden="1" thickBot="1" x14ac:dyDescent="0.3">
      <c r="A4910" s="228"/>
      <c r="B4910" s="226"/>
      <c r="C4910" s="36"/>
      <c r="D4910" s="36"/>
      <c r="E4910" s="37"/>
      <c r="F4910" s="54" t="s">
        <v>572</v>
      </c>
      <c r="G4910" s="54" t="str">
        <f t="shared" si="85"/>
        <v/>
      </c>
      <c r="H4910" s="73"/>
      <c r="I4910" s="74"/>
      <c r="J4910" s="156">
        <v>0</v>
      </c>
    </row>
    <row r="4911" spans="1:10" ht="15.75" hidden="1" thickBot="1" x14ac:dyDescent="0.3">
      <c r="A4911" s="221" t="s">
        <v>3540</v>
      </c>
      <c r="B4911" s="224" t="str">
        <f>INDEX(Orçamentária!A:B,MATCH(Composições!A4911,Orçamentária!A:A,0),2)</f>
        <v>Instalação de boiler reaproveitado</v>
      </c>
      <c r="C4911" s="41"/>
      <c r="D4911" s="26" t="str">
        <f>TRIM(INDEX(Orçamentária!C:C,MATCH(Composições!A4911,Orçamentária!A:A,0),1))</f>
        <v>un</v>
      </c>
      <c r="E4911" s="27"/>
      <c r="F4911" s="49" t="s">
        <v>572</v>
      </c>
      <c r="G4911" s="28" t="str">
        <f t="shared" si="85"/>
        <v/>
      </c>
      <c r="H4911" s="29"/>
      <c r="I4911" s="30"/>
      <c r="J4911" s="156">
        <v>0</v>
      </c>
    </row>
    <row r="4912" spans="1:10" ht="15.75" hidden="1" thickBot="1" x14ac:dyDescent="0.3">
      <c r="A4912" s="227"/>
      <c r="B4912" s="225"/>
      <c r="C4912" s="32"/>
      <c r="D4912" s="32"/>
      <c r="E4912" s="33"/>
      <c r="F4912" s="54" t="s">
        <v>572</v>
      </c>
      <c r="G4912" s="54" t="str">
        <f t="shared" si="85"/>
        <v/>
      </c>
      <c r="H4912" s="73"/>
      <c r="I4912" s="74"/>
      <c r="J4912" s="156">
        <v>0</v>
      </c>
    </row>
    <row r="4913" spans="1:10" ht="26.25" hidden="1" thickBot="1" x14ac:dyDescent="0.3">
      <c r="A4913" s="227"/>
      <c r="B4913" s="225"/>
      <c r="C4913" s="36" t="s">
        <v>1012</v>
      </c>
      <c r="D4913" s="47" t="s">
        <v>759</v>
      </c>
      <c r="E4913" s="37">
        <v>4</v>
      </c>
      <c r="F4913" s="31">
        <v>16.891000000000002</v>
      </c>
      <c r="G4913" s="54">
        <f t="shared" si="85"/>
        <v>67.564000000000007</v>
      </c>
      <c r="H4913" s="39">
        <f>SUM(G4913:G4917)</f>
        <v>233.76460000000003</v>
      </c>
      <c r="I4913" s="40"/>
      <c r="J4913" s="156">
        <v>0</v>
      </c>
    </row>
    <row r="4914" spans="1:10" ht="26.25" hidden="1" thickBot="1" x14ac:dyDescent="0.3">
      <c r="A4914" s="227"/>
      <c r="B4914" s="225"/>
      <c r="C4914" s="36" t="s">
        <v>1013</v>
      </c>
      <c r="D4914" s="36" t="s">
        <v>759</v>
      </c>
      <c r="E4914" s="37">
        <v>4</v>
      </c>
      <c r="F4914" s="31">
        <v>21.622</v>
      </c>
      <c r="G4914" s="54">
        <f t="shared" si="85"/>
        <v>86.488</v>
      </c>
      <c r="H4914" s="73"/>
      <c r="I4914" s="74"/>
      <c r="J4914" s="156">
        <v>0</v>
      </c>
    </row>
    <row r="4915" spans="1:10" ht="15.75" hidden="1" thickBot="1" x14ac:dyDescent="0.3">
      <c r="A4915" s="227"/>
      <c r="B4915" s="225"/>
      <c r="C4915" s="36" t="s">
        <v>74</v>
      </c>
      <c r="D4915" s="47" t="s">
        <v>759</v>
      </c>
      <c r="E4915" s="37">
        <v>2</v>
      </c>
      <c r="F4915" s="31">
        <v>17.366</v>
      </c>
      <c r="G4915" s="54">
        <f t="shared" si="85"/>
        <v>34.731999999999999</v>
      </c>
      <c r="H4915" s="73"/>
      <c r="I4915" s="74"/>
      <c r="J4915" s="156">
        <v>0</v>
      </c>
    </row>
    <row r="4916" spans="1:10" ht="15.75" hidden="1" thickBot="1" x14ac:dyDescent="0.3">
      <c r="A4916" s="227"/>
      <c r="B4916" s="225"/>
      <c r="C4916" s="36" t="s">
        <v>30</v>
      </c>
      <c r="D4916" s="36" t="s">
        <v>759</v>
      </c>
      <c r="E4916" s="37">
        <v>2</v>
      </c>
      <c r="F4916" s="31">
        <v>22.268000000000001</v>
      </c>
      <c r="G4916" s="54">
        <f t="shared" si="85"/>
        <v>44.536000000000001</v>
      </c>
      <c r="H4916" s="73"/>
      <c r="I4916" s="74"/>
      <c r="J4916" s="156">
        <v>0</v>
      </c>
    </row>
    <row r="4917" spans="1:10" ht="15.75" hidden="1" thickBot="1" x14ac:dyDescent="0.3">
      <c r="A4917" s="227"/>
      <c r="B4917" s="225"/>
      <c r="C4917" s="36" t="s">
        <v>1129</v>
      </c>
      <c r="D4917" s="36" t="s">
        <v>299</v>
      </c>
      <c r="E4917" s="37">
        <f>1.2/10</f>
        <v>0.12</v>
      </c>
      <c r="F4917" s="54">
        <v>3.7049999999999996</v>
      </c>
      <c r="G4917" s="54">
        <f t="shared" si="85"/>
        <v>0.44459999999999994</v>
      </c>
      <c r="H4917" s="73"/>
      <c r="I4917" s="74"/>
      <c r="J4917" s="156">
        <v>0</v>
      </c>
    </row>
    <row r="4918" spans="1:10" ht="15.75" hidden="1" thickBot="1" x14ac:dyDescent="0.3">
      <c r="A4918" s="227"/>
      <c r="B4918" s="225"/>
      <c r="C4918" s="36"/>
      <c r="D4918" s="47"/>
      <c r="E4918" s="37"/>
      <c r="F4918" s="54" t="s">
        <v>572</v>
      </c>
      <c r="G4918" s="54" t="str">
        <f t="shared" si="85"/>
        <v/>
      </c>
      <c r="H4918" s="73"/>
      <c r="I4918" s="74"/>
      <c r="J4918" s="156">
        <v>0</v>
      </c>
    </row>
    <row r="4919" spans="1:10" ht="15.75" hidden="1" thickBot="1" x14ac:dyDescent="0.3">
      <c r="A4919" s="221" t="s">
        <v>3541</v>
      </c>
      <c r="B4919" s="224" t="str">
        <f>INDEX(Orçamentária!A:B,MATCH(Composições!A4919,Orçamentária!A:A,0),2)</f>
        <v>Prateleira – Linha Residencial</v>
      </c>
      <c r="C4919" s="41"/>
      <c r="D4919" s="26" t="str">
        <f>TRIM(INDEX(Orçamentária!C:C,MATCH(Composições!A4919,Orçamentária!A:A,0),1))</f>
        <v>un</v>
      </c>
      <c r="E4919" s="27"/>
      <c r="F4919" s="42" t="s">
        <v>572</v>
      </c>
      <c r="G4919" s="28" t="str">
        <f t="shared" si="85"/>
        <v/>
      </c>
      <c r="H4919" s="29"/>
      <c r="I4919" s="30"/>
      <c r="J4919" s="156">
        <v>0</v>
      </c>
    </row>
    <row r="4920" spans="1:10" ht="15.75" hidden="1" thickBot="1" x14ac:dyDescent="0.3">
      <c r="A4920" s="222"/>
      <c r="B4920" s="225"/>
      <c r="C4920" s="32"/>
      <c r="D4920" s="32"/>
      <c r="E4920" s="33"/>
      <c r="F4920" s="43" t="s">
        <v>572</v>
      </c>
      <c r="G4920" s="31" t="str">
        <f t="shared" si="85"/>
        <v/>
      </c>
      <c r="H4920" s="35"/>
      <c r="I4920" s="31"/>
      <c r="J4920" s="156">
        <v>0</v>
      </c>
    </row>
    <row r="4921" spans="1:10" ht="26.25" hidden="1" thickBot="1" x14ac:dyDescent="0.3">
      <c r="A4921" s="222"/>
      <c r="B4921" s="225"/>
      <c r="C4921" s="36" t="s">
        <v>3671</v>
      </c>
      <c r="D4921" s="47" t="s">
        <v>150</v>
      </c>
      <c r="E4921" s="37">
        <v>1</v>
      </c>
      <c r="F4921" s="34" t="s">
        <v>572</v>
      </c>
      <c r="G4921" s="34" t="str">
        <f t="shared" si="85"/>
        <v/>
      </c>
      <c r="H4921" s="39">
        <f>SUM(G4921:G4923)</f>
        <v>16.9208414</v>
      </c>
      <c r="I4921" s="40"/>
      <c r="J4921" s="156">
        <v>0</v>
      </c>
    </row>
    <row r="4922" spans="1:10" ht="15.75" hidden="1" thickBot="1" x14ac:dyDescent="0.3">
      <c r="A4922" s="222"/>
      <c r="B4922" s="225"/>
      <c r="C4922" s="36" t="s">
        <v>39</v>
      </c>
      <c r="D4922" s="47" t="s">
        <v>12</v>
      </c>
      <c r="E4922" s="37">
        <v>0.63229999999999997</v>
      </c>
      <c r="F4922" s="31">
        <v>21.622</v>
      </c>
      <c r="G4922" s="34">
        <f t="shared" si="85"/>
        <v>13.6715906</v>
      </c>
      <c r="H4922" s="35"/>
      <c r="I4922" s="31"/>
      <c r="J4922" s="156">
        <v>0</v>
      </c>
    </row>
    <row r="4923" spans="1:10" ht="15.75" hidden="1" thickBot="1" x14ac:dyDescent="0.3">
      <c r="A4923" s="222"/>
      <c r="B4923" s="225"/>
      <c r="C4923" s="36" t="s">
        <v>23</v>
      </c>
      <c r="D4923" s="47" t="s">
        <v>12</v>
      </c>
      <c r="E4923" s="37">
        <v>0.19919999999999999</v>
      </c>
      <c r="F4923" s="31">
        <v>16.311500000000002</v>
      </c>
      <c r="G4923" s="34">
        <f t="shared" si="85"/>
        <v>3.2492508000000004</v>
      </c>
      <c r="H4923" s="35"/>
      <c r="I4923" s="31"/>
      <c r="J4923" s="156">
        <v>0</v>
      </c>
    </row>
    <row r="4924" spans="1:10" ht="15.75" hidden="1" thickBot="1" x14ac:dyDescent="0.3">
      <c r="A4924" s="223"/>
      <c r="B4924" s="226"/>
      <c r="C4924" s="36"/>
      <c r="D4924" s="36"/>
      <c r="E4924" s="37"/>
      <c r="F4924" s="31" t="s">
        <v>572</v>
      </c>
      <c r="G4924" s="31" t="str">
        <f t="shared" ref="G4924:G4987" si="86">IF(ISNUMBER(F4924),E4924*F4924,"")</f>
        <v/>
      </c>
      <c r="H4924" s="35"/>
      <c r="I4924" s="31"/>
      <c r="J4924" s="156">
        <v>0</v>
      </c>
    </row>
    <row r="4925" spans="1:10" ht="15.75" hidden="1" thickBot="1" x14ac:dyDescent="0.3">
      <c r="A4925" s="221" t="s">
        <v>3542</v>
      </c>
      <c r="B4925" s="224" t="str">
        <f>INDEX(Orçamentária!A:B,MATCH(Composições!A4925,Orçamentária!A:A,0),2)</f>
        <v>Saboneteira – Linha Residencial</v>
      </c>
      <c r="C4925" s="41"/>
      <c r="D4925" s="26" t="str">
        <f>TRIM(INDEX(Orçamentária!C:C,MATCH(Composições!A4925,Orçamentária!A:A,0),1))</f>
        <v>un</v>
      </c>
      <c r="E4925" s="27"/>
      <c r="F4925" s="42" t="s">
        <v>572</v>
      </c>
      <c r="G4925" s="28" t="str">
        <f t="shared" si="86"/>
        <v/>
      </c>
      <c r="H4925" s="29"/>
      <c r="I4925" s="30"/>
      <c r="J4925" s="156">
        <v>0</v>
      </c>
    </row>
    <row r="4926" spans="1:10" ht="15.75" hidden="1" thickBot="1" x14ac:dyDescent="0.3">
      <c r="A4926" s="222"/>
      <c r="B4926" s="225"/>
      <c r="C4926" s="32"/>
      <c r="D4926" s="32"/>
      <c r="E4926" s="33"/>
      <c r="F4926" s="43" t="s">
        <v>572</v>
      </c>
      <c r="G4926" s="31" t="str">
        <f t="shared" si="86"/>
        <v/>
      </c>
      <c r="H4926" s="35"/>
      <c r="I4926" s="31"/>
      <c r="J4926" s="156">
        <v>0</v>
      </c>
    </row>
    <row r="4927" spans="1:10" ht="26.25" hidden="1" thickBot="1" x14ac:dyDescent="0.3">
      <c r="A4927" s="222"/>
      <c r="B4927" s="225"/>
      <c r="C4927" s="36" t="s">
        <v>3672</v>
      </c>
      <c r="D4927" s="47" t="s">
        <v>150</v>
      </c>
      <c r="E4927" s="37">
        <v>1</v>
      </c>
      <c r="F4927" s="34" t="s">
        <v>572</v>
      </c>
      <c r="G4927" s="34" t="str">
        <f t="shared" si="86"/>
        <v/>
      </c>
      <c r="H4927" s="39">
        <f>SUM(G4927:G4929)</f>
        <v>8.4615018000000006</v>
      </c>
      <c r="I4927" s="40"/>
      <c r="J4927" s="156">
        <v>0</v>
      </c>
    </row>
    <row r="4928" spans="1:10" ht="15.75" hidden="1" thickBot="1" x14ac:dyDescent="0.3">
      <c r="A4928" s="222"/>
      <c r="B4928" s="225"/>
      <c r="C4928" s="36" t="s">
        <v>39</v>
      </c>
      <c r="D4928" s="47" t="s">
        <v>12</v>
      </c>
      <c r="E4928" s="37">
        <v>0.31619999999999998</v>
      </c>
      <c r="F4928" s="31">
        <v>21.622</v>
      </c>
      <c r="G4928" s="34">
        <f t="shared" si="86"/>
        <v>6.8368763999999995</v>
      </c>
      <c r="H4928" s="35"/>
      <c r="I4928" s="31"/>
      <c r="J4928" s="156">
        <v>0</v>
      </c>
    </row>
    <row r="4929" spans="1:10" ht="15.75" hidden="1" thickBot="1" x14ac:dyDescent="0.3">
      <c r="A4929" s="222"/>
      <c r="B4929" s="225"/>
      <c r="C4929" s="36" t="s">
        <v>23</v>
      </c>
      <c r="D4929" s="47" t="s">
        <v>12</v>
      </c>
      <c r="E4929" s="37">
        <v>9.9599999999999994E-2</v>
      </c>
      <c r="F4929" s="31">
        <v>16.311500000000002</v>
      </c>
      <c r="G4929" s="34">
        <f t="shared" si="86"/>
        <v>1.6246254000000002</v>
      </c>
      <c r="H4929" s="35"/>
      <c r="I4929" s="31"/>
      <c r="J4929" s="156">
        <v>0</v>
      </c>
    </row>
    <row r="4930" spans="1:10" ht="15.75" hidden="1" thickBot="1" x14ac:dyDescent="0.3">
      <c r="A4930" s="223"/>
      <c r="B4930" s="226"/>
      <c r="C4930" s="36"/>
      <c r="D4930" s="36"/>
      <c r="E4930" s="37"/>
      <c r="F4930" s="31" t="s">
        <v>572</v>
      </c>
      <c r="G4930" s="31" t="str">
        <f t="shared" si="86"/>
        <v/>
      </c>
      <c r="H4930" s="35"/>
      <c r="I4930" s="31"/>
      <c r="J4930" s="156">
        <v>0</v>
      </c>
    </row>
    <row r="4931" spans="1:10" ht="15.75" hidden="1" thickBot="1" x14ac:dyDescent="0.3">
      <c r="A4931" s="221" t="s">
        <v>3543</v>
      </c>
      <c r="B4931" s="224" t="str">
        <f>INDEX(Orçamentária!A:B,MATCH(Composições!A4931,Orçamentária!A:A,0),2)</f>
        <v>Módulo campainha eletrônica – Linha Residencial</v>
      </c>
      <c r="C4931" s="41"/>
      <c r="D4931" s="26" t="str">
        <f>TRIM(INDEX(Orçamentária!C:C,MATCH(Composições!A4931,Orçamentária!A:A,0),1))</f>
        <v>un</v>
      </c>
      <c r="E4931" s="27"/>
      <c r="F4931" s="42" t="s">
        <v>572</v>
      </c>
      <c r="G4931" s="28" t="str">
        <f t="shared" si="86"/>
        <v/>
      </c>
      <c r="H4931" s="29"/>
      <c r="I4931" s="30"/>
      <c r="J4931" s="156">
        <v>0</v>
      </c>
    </row>
    <row r="4932" spans="1:10" ht="15.75" hidden="1" thickBot="1" x14ac:dyDescent="0.3">
      <c r="A4932" s="222"/>
      <c r="B4932" s="225"/>
      <c r="C4932" s="32"/>
      <c r="D4932" s="32"/>
      <c r="E4932" s="33"/>
      <c r="F4932" s="43" t="s">
        <v>572</v>
      </c>
      <c r="G4932" s="31" t="str">
        <f t="shared" si="86"/>
        <v/>
      </c>
      <c r="H4932" s="35"/>
      <c r="I4932" s="31"/>
      <c r="J4932" s="156">
        <v>0</v>
      </c>
    </row>
    <row r="4933" spans="1:10" ht="15.75" hidden="1" thickBot="1" x14ac:dyDescent="0.3">
      <c r="A4933" s="222"/>
      <c r="B4933" s="225"/>
      <c r="C4933" s="36" t="s">
        <v>3673</v>
      </c>
      <c r="D4933" s="36" t="s">
        <v>20</v>
      </c>
      <c r="E4933" s="37">
        <v>1</v>
      </c>
      <c r="F4933" s="34" t="s">
        <v>572</v>
      </c>
      <c r="G4933" s="31" t="str">
        <f t="shared" si="86"/>
        <v/>
      </c>
      <c r="H4933" s="39">
        <f>SUM(G4933:G4935)</f>
        <v>13.911534</v>
      </c>
      <c r="I4933" s="40"/>
      <c r="J4933" s="156">
        <v>0</v>
      </c>
    </row>
    <row r="4934" spans="1:10" ht="15.75" hidden="1" thickBot="1" x14ac:dyDescent="0.3">
      <c r="A4934" s="222"/>
      <c r="B4934" s="225"/>
      <c r="C4934" s="36" t="s">
        <v>74</v>
      </c>
      <c r="D4934" s="36" t="s">
        <v>12</v>
      </c>
      <c r="E4934" s="37">
        <v>0.35099999999999998</v>
      </c>
      <c r="F4934" s="31">
        <v>17.366</v>
      </c>
      <c r="G4934" s="34">
        <f t="shared" si="86"/>
        <v>6.0954659999999992</v>
      </c>
      <c r="H4934" s="35"/>
      <c r="I4934" s="31"/>
      <c r="J4934" s="156">
        <v>0</v>
      </c>
    </row>
    <row r="4935" spans="1:10" ht="15.75" hidden="1" thickBot="1" x14ac:dyDescent="0.3">
      <c r="A4935" s="222"/>
      <c r="B4935" s="225"/>
      <c r="C4935" s="36" t="s">
        <v>30</v>
      </c>
      <c r="D4935" s="36" t="s">
        <v>12</v>
      </c>
      <c r="E4935" s="37">
        <v>0.35099999999999998</v>
      </c>
      <c r="F4935" s="31">
        <v>22.268000000000001</v>
      </c>
      <c r="G4935" s="34">
        <f t="shared" si="86"/>
        <v>7.8160679999999996</v>
      </c>
      <c r="H4935" s="35"/>
      <c r="I4935" s="31"/>
      <c r="J4935" s="156">
        <v>0</v>
      </c>
    </row>
    <row r="4936" spans="1:10" ht="15.75" hidden="1" thickBot="1" x14ac:dyDescent="0.3">
      <c r="A4936" s="223"/>
      <c r="B4936" s="226"/>
      <c r="C4936" s="36"/>
      <c r="D4936" s="36"/>
      <c r="E4936" s="37"/>
      <c r="F4936" s="31" t="s">
        <v>572</v>
      </c>
      <c r="G4936" s="31" t="str">
        <f t="shared" si="86"/>
        <v/>
      </c>
      <c r="H4936" s="35"/>
      <c r="I4936" s="31"/>
      <c r="J4936" s="156">
        <v>0</v>
      </c>
    </row>
    <row r="4937" spans="1:10" ht="15.75" hidden="1" thickBot="1" x14ac:dyDescent="0.3">
      <c r="A4937" s="221" t="s">
        <v>3544</v>
      </c>
      <c r="B4937" s="224" t="str">
        <f>INDEX(Orçamentária!A:B,MATCH(Composições!A4937,Orçamentária!A:A,0),2)</f>
        <v>Módulo pulsador – Linha Residencial</v>
      </c>
      <c r="C4937" s="41"/>
      <c r="D4937" s="26" t="str">
        <f>TRIM(INDEX(Orçamentária!C:C,MATCH(Composições!A4937,Orçamentária!A:A,0),1))</f>
        <v>un</v>
      </c>
      <c r="E4937" s="27"/>
      <c r="F4937" s="42" t="s">
        <v>572</v>
      </c>
      <c r="G4937" s="28" t="str">
        <f t="shared" si="86"/>
        <v/>
      </c>
      <c r="H4937" s="29"/>
      <c r="I4937" s="30"/>
      <c r="J4937" s="156">
        <v>0</v>
      </c>
    </row>
    <row r="4938" spans="1:10" ht="15.75" hidden="1" thickBot="1" x14ac:dyDescent="0.3">
      <c r="A4938" s="222"/>
      <c r="B4938" s="225"/>
      <c r="C4938" s="32"/>
      <c r="D4938" s="32"/>
      <c r="E4938" s="33"/>
      <c r="F4938" s="43" t="s">
        <v>572</v>
      </c>
      <c r="G4938" s="31" t="str">
        <f t="shared" si="86"/>
        <v/>
      </c>
      <c r="H4938" s="35"/>
      <c r="I4938" s="31"/>
      <c r="J4938" s="156">
        <v>0</v>
      </c>
    </row>
    <row r="4939" spans="1:10" ht="15.75" hidden="1" thickBot="1" x14ac:dyDescent="0.3">
      <c r="A4939" s="222"/>
      <c r="B4939" s="225"/>
      <c r="C4939" s="36" t="s">
        <v>3471</v>
      </c>
      <c r="D4939" s="36" t="s">
        <v>299</v>
      </c>
      <c r="E4939" s="37">
        <v>1</v>
      </c>
      <c r="F4939" s="34">
        <v>4.75</v>
      </c>
      <c r="G4939" s="31">
        <f t="shared" si="86"/>
        <v>4.75</v>
      </c>
      <c r="H4939" s="39">
        <f>SUM(G4939:G4941)</f>
        <v>13.667650000000002</v>
      </c>
      <c r="I4939" s="40"/>
      <c r="J4939" s="156">
        <v>0</v>
      </c>
    </row>
    <row r="4940" spans="1:10" ht="15.75" hidden="1" thickBot="1" x14ac:dyDescent="0.3">
      <c r="A4940" s="222"/>
      <c r="B4940" s="225"/>
      <c r="C4940" s="36" t="s">
        <v>74</v>
      </c>
      <c r="D4940" s="36" t="s">
        <v>12</v>
      </c>
      <c r="E4940" s="37">
        <v>0.22500000000000001</v>
      </c>
      <c r="F4940" s="31">
        <v>17.366</v>
      </c>
      <c r="G4940" s="34">
        <f t="shared" si="86"/>
        <v>3.9073500000000001</v>
      </c>
      <c r="H4940" s="35"/>
      <c r="I4940" s="31"/>
      <c r="J4940" s="156">
        <v>0</v>
      </c>
    </row>
    <row r="4941" spans="1:10" ht="15.75" hidden="1" thickBot="1" x14ac:dyDescent="0.3">
      <c r="A4941" s="222"/>
      <c r="B4941" s="225"/>
      <c r="C4941" s="36" t="s">
        <v>30</v>
      </c>
      <c r="D4941" s="36" t="s">
        <v>12</v>
      </c>
      <c r="E4941" s="37">
        <v>0.22500000000000001</v>
      </c>
      <c r="F4941" s="31">
        <v>22.268000000000001</v>
      </c>
      <c r="G4941" s="34">
        <f t="shared" si="86"/>
        <v>5.0103</v>
      </c>
      <c r="H4941" s="35"/>
      <c r="I4941" s="31"/>
      <c r="J4941" s="156">
        <v>0</v>
      </c>
    </row>
    <row r="4942" spans="1:10" ht="15.75" hidden="1" thickBot="1" x14ac:dyDescent="0.3">
      <c r="A4942" s="223"/>
      <c r="B4942" s="226"/>
      <c r="C4942" s="36"/>
      <c r="D4942" s="36"/>
      <c r="E4942" s="37"/>
      <c r="F4942" s="31" t="s">
        <v>572</v>
      </c>
      <c r="G4942" s="31" t="str">
        <f t="shared" si="86"/>
        <v/>
      </c>
      <c r="H4942" s="35"/>
      <c r="I4942" s="31"/>
      <c r="J4942" s="156">
        <v>0</v>
      </c>
    </row>
    <row r="4943" spans="1:10" ht="15.75" hidden="1" thickBot="1" x14ac:dyDescent="0.3">
      <c r="A4943" s="221" t="s">
        <v>3545</v>
      </c>
      <c r="B4943" s="224" t="str">
        <f>INDEX(Orçamentária!A:B,MATCH(Composições!A4943,Orçamentária!A:A,0),2)</f>
        <v>Luminária redonda de sobrepor (plafond) – Linha Residencial</v>
      </c>
      <c r="C4943" s="41"/>
      <c r="D4943" s="26" t="str">
        <f>TRIM(INDEX(Orçamentária!C:C,MATCH(Composições!A4943,Orçamentária!A:A,0),1))</f>
        <v>un</v>
      </c>
      <c r="E4943" s="27"/>
      <c r="F4943" s="42" t="s">
        <v>572</v>
      </c>
      <c r="G4943" s="28" t="str">
        <f t="shared" si="86"/>
        <v/>
      </c>
      <c r="H4943" s="29"/>
      <c r="I4943" s="30"/>
      <c r="J4943" s="156">
        <v>0</v>
      </c>
    </row>
    <row r="4944" spans="1:10" ht="15.75" hidden="1" thickBot="1" x14ac:dyDescent="0.3">
      <c r="A4944" s="222"/>
      <c r="B4944" s="225"/>
      <c r="C4944" s="32"/>
      <c r="D4944" s="32"/>
      <c r="E4944" s="33"/>
      <c r="F4944" s="43" t="s">
        <v>572</v>
      </c>
      <c r="G4944" s="31" t="str">
        <f t="shared" si="86"/>
        <v/>
      </c>
      <c r="H4944" s="35"/>
      <c r="I4944" s="31"/>
      <c r="J4944" s="156">
        <v>0</v>
      </c>
    </row>
    <row r="4945" spans="1:10" ht="39" hidden="1" thickBot="1" x14ac:dyDescent="0.3">
      <c r="A4945" s="222"/>
      <c r="B4945" s="225"/>
      <c r="C4945" s="36" t="s">
        <v>3465</v>
      </c>
      <c r="D4945" s="36" t="s">
        <v>299</v>
      </c>
      <c r="E4945" s="37">
        <v>1</v>
      </c>
      <c r="F4945" s="34">
        <v>52.924500000000002</v>
      </c>
      <c r="G4945" s="34">
        <f t="shared" si="86"/>
        <v>52.924500000000002</v>
      </c>
      <c r="H4945" s="39">
        <f>SUM(G4945:G4948)</f>
        <v>99.826573800000006</v>
      </c>
      <c r="I4945" s="40"/>
      <c r="J4945" s="156">
        <v>0</v>
      </c>
    </row>
    <row r="4946" spans="1:10" ht="26.25" hidden="1" thickBot="1" x14ac:dyDescent="0.3">
      <c r="A4946" s="222"/>
      <c r="B4946" s="225"/>
      <c r="C4946" s="36" t="s">
        <v>3464</v>
      </c>
      <c r="D4946" s="36" t="s">
        <v>299</v>
      </c>
      <c r="E4946" s="37">
        <v>2</v>
      </c>
      <c r="F4946" s="34">
        <v>13.242999999999999</v>
      </c>
      <c r="G4946" s="34">
        <f t="shared" si="86"/>
        <v>26.485999999999997</v>
      </c>
      <c r="H4946" s="45"/>
      <c r="I4946" s="46"/>
      <c r="J4946" s="156">
        <v>0</v>
      </c>
    </row>
    <row r="4947" spans="1:10" ht="15.75" hidden="1" thickBot="1" x14ac:dyDescent="0.3">
      <c r="A4947" s="222"/>
      <c r="B4947" s="225"/>
      <c r="C4947" s="36" t="s">
        <v>74</v>
      </c>
      <c r="D4947" s="47" t="s">
        <v>12</v>
      </c>
      <c r="E4947" s="37">
        <v>0.2883</v>
      </c>
      <c r="F4947" s="31">
        <v>17.366</v>
      </c>
      <c r="G4947" s="31">
        <f t="shared" si="86"/>
        <v>5.0066177999999999</v>
      </c>
      <c r="H4947" s="35"/>
      <c r="I4947" s="31"/>
      <c r="J4947" s="156">
        <v>0</v>
      </c>
    </row>
    <row r="4948" spans="1:10" ht="15.75" hidden="1" thickBot="1" x14ac:dyDescent="0.3">
      <c r="A4948" s="222"/>
      <c r="B4948" s="225"/>
      <c r="C4948" s="36" t="s">
        <v>30</v>
      </c>
      <c r="D4948" s="36" t="s">
        <v>12</v>
      </c>
      <c r="E4948" s="37">
        <v>0.69199999999999995</v>
      </c>
      <c r="F4948" s="31">
        <v>22.268000000000001</v>
      </c>
      <c r="G4948" s="31">
        <f t="shared" si="86"/>
        <v>15.409455999999999</v>
      </c>
      <c r="H4948" s="35"/>
      <c r="I4948" s="31"/>
      <c r="J4948" s="156">
        <v>0</v>
      </c>
    </row>
    <row r="4949" spans="1:10" ht="15.75" hidden="1" thickBot="1" x14ac:dyDescent="0.3">
      <c r="A4949" s="223"/>
      <c r="B4949" s="226"/>
      <c r="C4949" s="36"/>
      <c r="D4949" s="36"/>
      <c r="E4949" s="37"/>
      <c r="F4949" s="31" t="s">
        <v>572</v>
      </c>
      <c r="G4949" s="31" t="str">
        <f t="shared" si="86"/>
        <v/>
      </c>
      <c r="H4949" s="35"/>
      <c r="I4949" s="31"/>
      <c r="J4949" s="156">
        <v>0</v>
      </c>
    </row>
    <row r="4950" spans="1:10" ht="15.75" hidden="1" thickBot="1" x14ac:dyDescent="0.3">
      <c r="A4950" s="230" t="s">
        <v>3674</v>
      </c>
      <c r="B4950" s="232" t="str">
        <f>INDEX(Orçamentária!A:B,MATCH(Composições!A4950,Orçamentária!A:A,0),2)</f>
        <v>Bandeira de porta, em madeira e MDF</v>
      </c>
      <c r="C4950" s="41"/>
      <c r="D4950" s="26" t="str">
        <f>TRIM(INDEX(Orçamentária!C:C,MATCH(Composições!A4950,Orçamentária!A:A,0),1))</f>
        <v>m2</v>
      </c>
      <c r="E4950" s="27"/>
      <c r="F4950" s="42" t="s">
        <v>572</v>
      </c>
      <c r="G4950" s="28" t="str">
        <f t="shared" si="86"/>
        <v/>
      </c>
      <c r="H4950" s="29"/>
      <c r="I4950" s="30"/>
      <c r="J4950" s="156">
        <v>0</v>
      </c>
    </row>
    <row r="4951" spans="1:10" ht="15.75" hidden="1" thickBot="1" x14ac:dyDescent="0.3">
      <c r="A4951" s="231"/>
      <c r="B4951" s="233"/>
      <c r="C4951" s="32"/>
      <c r="D4951" s="32"/>
      <c r="E4951" s="33"/>
      <c r="F4951" s="43" t="s">
        <v>572</v>
      </c>
      <c r="G4951" s="31" t="str">
        <f t="shared" si="86"/>
        <v/>
      </c>
      <c r="H4951" s="35"/>
      <c r="I4951" s="31"/>
      <c r="J4951" s="156">
        <v>0</v>
      </c>
    </row>
    <row r="4952" spans="1:10" ht="51.75" hidden="1" thickBot="1" x14ac:dyDescent="0.3">
      <c r="A4952" s="231"/>
      <c r="B4952" s="233"/>
      <c r="C4952" s="36" t="s">
        <v>3816</v>
      </c>
      <c r="D4952" s="47" t="s">
        <v>299</v>
      </c>
      <c r="E4952" s="37">
        <f>1/(0.8*2.1)</f>
        <v>0.59523809523809523</v>
      </c>
      <c r="F4952" s="34">
        <v>198.85399999999998</v>
      </c>
      <c r="G4952" s="34">
        <f t="shared" si="86"/>
        <v>118.36547619047619</v>
      </c>
      <c r="H4952" s="39">
        <f>SUM(G4952:G4955)</f>
        <v>163.25716664047619</v>
      </c>
      <c r="I4952" s="40"/>
      <c r="J4952" s="156">
        <v>0</v>
      </c>
    </row>
    <row r="4953" spans="1:10" ht="15.75" hidden="1" thickBot="1" x14ac:dyDescent="0.3">
      <c r="A4953" s="231"/>
      <c r="B4953" s="233"/>
      <c r="C4953" s="36" t="s">
        <v>3446</v>
      </c>
      <c r="D4953" s="47" t="s">
        <v>527</v>
      </c>
      <c r="E4953" s="37">
        <f>1/0.8</f>
        <v>1.25</v>
      </c>
      <c r="F4953" s="31">
        <v>18.201999999999998</v>
      </c>
      <c r="G4953" s="34">
        <f t="shared" si="86"/>
        <v>22.752499999999998</v>
      </c>
      <c r="H4953" s="35"/>
      <c r="I4953" s="31"/>
      <c r="J4953" s="156">
        <v>0</v>
      </c>
    </row>
    <row r="4954" spans="1:10" ht="15.75" hidden="1" thickBot="1" x14ac:dyDescent="0.3">
      <c r="A4954" s="231"/>
      <c r="B4954" s="233"/>
      <c r="C4954" s="36" t="s">
        <v>758</v>
      </c>
      <c r="D4954" s="47" t="s">
        <v>759</v>
      </c>
      <c r="E4954" s="37">
        <f>ROUND(1.546*0.8/(2.1*0.8),4)</f>
        <v>0.73619999999999997</v>
      </c>
      <c r="F4954" s="31">
        <v>21.916499999999999</v>
      </c>
      <c r="G4954" s="34">
        <f t="shared" si="86"/>
        <v>16.134927299999998</v>
      </c>
      <c r="H4954" s="35"/>
      <c r="I4954" s="31"/>
      <c r="J4954" s="156">
        <v>0</v>
      </c>
    </row>
    <row r="4955" spans="1:10" ht="15.75" hidden="1" thickBot="1" x14ac:dyDescent="0.3">
      <c r="A4955" s="231"/>
      <c r="B4955" s="233"/>
      <c r="C4955" s="36" t="s">
        <v>760</v>
      </c>
      <c r="D4955" s="47" t="s">
        <v>759</v>
      </c>
      <c r="E4955" s="37">
        <f>ROUND(0.773*0.8/(2.1*0.8),4)</f>
        <v>0.36809999999999998</v>
      </c>
      <c r="F4955" s="31">
        <v>16.311500000000002</v>
      </c>
      <c r="G4955" s="34">
        <f t="shared" si="86"/>
        <v>6.0042631500000008</v>
      </c>
      <c r="H4955" s="35"/>
      <c r="I4955" s="31"/>
      <c r="J4955" s="156">
        <v>0</v>
      </c>
    </row>
    <row r="4956" spans="1:10" ht="15.75" hidden="1" thickBot="1" x14ac:dyDescent="0.3">
      <c r="A4956" s="231"/>
      <c r="B4956" s="233"/>
      <c r="C4956" s="36"/>
      <c r="D4956" s="47"/>
      <c r="E4956" s="37"/>
      <c r="F4956" s="34" t="s">
        <v>572</v>
      </c>
      <c r="G4956" s="34" t="str">
        <f t="shared" si="86"/>
        <v/>
      </c>
      <c r="H4956" s="35"/>
      <c r="I4956" s="31"/>
      <c r="J4956" s="156">
        <v>0</v>
      </c>
    </row>
    <row r="4957" spans="1:10" ht="15.75" hidden="1" thickBot="1" x14ac:dyDescent="0.3">
      <c r="A4957" s="230" t="s">
        <v>3676</v>
      </c>
      <c r="B4957" s="232" t="str">
        <f>INDEX(Orçamentária!A:B,MATCH(Composições!A4957,Orçamentária!A:A,0),2)</f>
        <v>Bandeira de porta, em madeira pintada</v>
      </c>
      <c r="C4957" s="41"/>
      <c r="D4957" s="26" t="str">
        <f>TRIM(INDEX(Orçamentária!C:C,MATCH(Composições!A4957,Orçamentária!A:A,0),1))</f>
        <v>m2</v>
      </c>
      <c r="E4957" s="27"/>
      <c r="F4957" s="42" t="s">
        <v>572</v>
      </c>
      <c r="G4957" s="28" t="str">
        <f t="shared" si="86"/>
        <v/>
      </c>
      <c r="H4957" s="29"/>
      <c r="I4957" s="30"/>
      <c r="J4957" s="156">
        <v>0</v>
      </c>
    </row>
    <row r="4958" spans="1:10" ht="15.75" hidden="1" thickBot="1" x14ac:dyDescent="0.3">
      <c r="A4958" s="231"/>
      <c r="B4958" s="233"/>
      <c r="C4958" s="32"/>
      <c r="D4958" s="32"/>
      <c r="E4958" s="33"/>
      <c r="F4958" s="43" t="s">
        <v>572</v>
      </c>
      <c r="G4958" s="31" t="str">
        <f t="shared" si="86"/>
        <v/>
      </c>
      <c r="H4958" s="35"/>
      <c r="I4958" s="31"/>
      <c r="J4958" s="156">
        <v>0</v>
      </c>
    </row>
    <row r="4959" spans="1:10" ht="51.75" hidden="1" thickBot="1" x14ac:dyDescent="0.3">
      <c r="A4959" s="231"/>
      <c r="B4959" s="233"/>
      <c r="C4959" s="36" t="s">
        <v>3817</v>
      </c>
      <c r="D4959" s="47" t="s">
        <v>299</v>
      </c>
      <c r="E4959" s="37">
        <f>1/(0.8*2.1)</f>
        <v>0.59523809523809523</v>
      </c>
      <c r="F4959" s="34">
        <v>194.2465</v>
      </c>
      <c r="G4959" s="34">
        <f t="shared" si="86"/>
        <v>115.62291666666667</v>
      </c>
      <c r="H4959" s="39">
        <f>SUM(G4959:G4966)</f>
        <v>175.23675711666667</v>
      </c>
      <c r="I4959" s="40"/>
      <c r="J4959" s="156">
        <v>0</v>
      </c>
    </row>
    <row r="4960" spans="1:10" ht="15.75" hidden="1" thickBot="1" x14ac:dyDescent="0.3">
      <c r="A4960" s="231"/>
      <c r="B4960" s="233"/>
      <c r="C4960" s="36" t="s">
        <v>3446</v>
      </c>
      <c r="D4960" s="47" t="s">
        <v>527</v>
      </c>
      <c r="E4960" s="37">
        <f>1/0.8</f>
        <v>1.25</v>
      </c>
      <c r="F4960" s="31">
        <v>18.201999999999998</v>
      </c>
      <c r="G4960" s="34">
        <f t="shared" si="86"/>
        <v>22.752499999999998</v>
      </c>
      <c r="H4960" s="35"/>
      <c r="I4960" s="31"/>
      <c r="J4960" s="156">
        <v>0</v>
      </c>
    </row>
    <row r="4961" spans="1:10" ht="15.75" hidden="1" thickBot="1" x14ac:dyDescent="0.3">
      <c r="A4961" s="231"/>
      <c r="B4961" s="233"/>
      <c r="C4961" s="36" t="s">
        <v>758</v>
      </c>
      <c r="D4961" s="47" t="s">
        <v>759</v>
      </c>
      <c r="E4961" s="37">
        <f>ROUND(1.546*0.8/(0.8*2.1),4)</f>
        <v>0.73619999999999997</v>
      </c>
      <c r="F4961" s="31">
        <v>21.916499999999999</v>
      </c>
      <c r="G4961" s="34">
        <f t="shared" si="86"/>
        <v>16.134927299999998</v>
      </c>
      <c r="H4961" s="35"/>
      <c r="I4961" s="31"/>
      <c r="J4961" s="156">
        <v>0</v>
      </c>
    </row>
    <row r="4962" spans="1:10" ht="15.75" hidden="1" thickBot="1" x14ac:dyDescent="0.3">
      <c r="A4962" s="231"/>
      <c r="B4962" s="233"/>
      <c r="C4962" s="36" t="s">
        <v>760</v>
      </c>
      <c r="D4962" s="47" t="s">
        <v>759</v>
      </c>
      <c r="E4962" s="37">
        <f>ROUND(0.773*0.8/(0.8*2.1),4)</f>
        <v>0.36809999999999998</v>
      </c>
      <c r="F4962" s="31">
        <v>16.311500000000002</v>
      </c>
      <c r="G4962" s="34">
        <f t="shared" si="86"/>
        <v>6.0042631500000008</v>
      </c>
      <c r="H4962" s="35"/>
      <c r="I4962" s="31"/>
      <c r="J4962" s="156">
        <v>0</v>
      </c>
    </row>
    <row r="4963" spans="1:10" ht="15.75" hidden="1" thickBot="1" x14ac:dyDescent="0.3">
      <c r="A4963" s="231"/>
      <c r="B4963" s="233"/>
      <c r="C4963" s="36" t="s">
        <v>210</v>
      </c>
      <c r="D4963" s="36" t="s">
        <v>20</v>
      </c>
      <c r="E4963" s="37">
        <v>1</v>
      </c>
      <c r="F4963" s="34">
        <v>0.61749999999999994</v>
      </c>
      <c r="G4963" s="31">
        <f t="shared" si="86"/>
        <v>0.61749999999999994</v>
      </c>
      <c r="H4963" s="35"/>
      <c r="I4963" s="40"/>
      <c r="J4963" s="156">
        <v>0</v>
      </c>
    </row>
    <row r="4964" spans="1:10" ht="15.75" hidden="1" thickBot="1" x14ac:dyDescent="0.3">
      <c r="A4964" s="231"/>
      <c r="B4964" s="233"/>
      <c r="C4964" s="36" t="s">
        <v>219</v>
      </c>
      <c r="D4964" s="50" t="s">
        <v>105</v>
      </c>
      <c r="E4964" s="37">
        <v>0.108</v>
      </c>
      <c r="F4964" s="34" t="s">
        <v>572</v>
      </c>
      <c r="G4964" s="31" t="str">
        <f t="shared" si="86"/>
        <v/>
      </c>
      <c r="H4964" s="35"/>
      <c r="I4964" s="31"/>
      <c r="J4964" s="156">
        <v>0</v>
      </c>
    </row>
    <row r="4965" spans="1:10" ht="15.75" hidden="1" thickBot="1" x14ac:dyDescent="0.3">
      <c r="A4965" s="231"/>
      <c r="B4965" s="233"/>
      <c r="C4965" s="36" t="s">
        <v>103</v>
      </c>
      <c r="D4965" s="36" t="s">
        <v>12</v>
      </c>
      <c r="E4965" s="37">
        <v>0.4</v>
      </c>
      <c r="F4965" s="31">
        <v>23.027999999999999</v>
      </c>
      <c r="G4965" s="31">
        <f t="shared" si="86"/>
        <v>9.2111999999999998</v>
      </c>
      <c r="H4965" s="35"/>
      <c r="I4965" s="31"/>
      <c r="J4965" s="156">
        <v>0</v>
      </c>
    </row>
    <row r="4966" spans="1:10" ht="15.75" hidden="1" thickBot="1" x14ac:dyDescent="0.3">
      <c r="A4966" s="231"/>
      <c r="B4966" s="233"/>
      <c r="C4966" s="36" t="s">
        <v>23</v>
      </c>
      <c r="D4966" s="36" t="s">
        <v>12</v>
      </c>
      <c r="E4966" s="37">
        <v>0.3</v>
      </c>
      <c r="F4966" s="31">
        <v>16.311500000000002</v>
      </c>
      <c r="G4966" s="31">
        <f t="shared" si="86"/>
        <v>4.8934500000000005</v>
      </c>
      <c r="H4966" s="35"/>
      <c r="I4966" s="31"/>
      <c r="J4966" s="156">
        <v>0</v>
      </c>
    </row>
    <row r="4967" spans="1:10" ht="15.75" hidden="1" thickBot="1" x14ac:dyDescent="0.3">
      <c r="A4967" s="231"/>
      <c r="B4967" s="233"/>
      <c r="C4967" s="36"/>
      <c r="D4967" s="36"/>
      <c r="E4967" s="37"/>
      <c r="F4967" s="31"/>
      <c r="G4967" s="31"/>
      <c r="H4967" s="35"/>
      <c r="I4967" s="31"/>
      <c r="J4967" s="156">
        <v>0</v>
      </c>
    </row>
    <row r="4968" spans="1:10" ht="15.75" hidden="1" thickBot="1" x14ac:dyDescent="0.3">
      <c r="A4968" s="231"/>
      <c r="B4968" s="233"/>
      <c r="C4968" s="2" t="s">
        <v>3489</v>
      </c>
      <c r="D4968" s="36"/>
      <c r="E4968" s="37"/>
      <c r="F4968" s="31"/>
      <c r="G4968" s="31"/>
      <c r="H4968" s="35"/>
      <c r="I4968" s="31"/>
      <c r="J4968" s="156">
        <v>0</v>
      </c>
    </row>
    <row r="4969" spans="1:10" ht="15.75" hidden="1" thickBot="1" x14ac:dyDescent="0.3">
      <c r="A4969" s="231"/>
      <c r="B4969" s="233"/>
      <c r="C4969" s="36"/>
      <c r="D4969" s="47"/>
      <c r="E4969" s="37"/>
      <c r="F4969" s="34" t="s">
        <v>572</v>
      </c>
      <c r="G4969" s="34" t="str">
        <f t="shared" ref="G4969:G5000" si="87">IF(ISNUMBER(F4969),E4969*F4969,"")</f>
        <v/>
      </c>
      <c r="H4969" s="35"/>
      <c r="I4969" s="31"/>
      <c r="J4969" s="156">
        <v>0</v>
      </c>
    </row>
    <row r="4970" spans="1:10" ht="15.75" thickBot="1" x14ac:dyDescent="0.3">
      <c r="A4970" s="221" t="s">
        <v>3704</v>
      </c>
      <c r="B4970" s="224" t="str">
        <f>INDEX(Orçamentária!A:B,MATCH(Composições!A4970,Orçamentária!A:A,0),2)</f>
        <v>Cambota elastomérica de 8”</v>
      </c>
      <c r="C4970" s="41"/>
      <c r="D4970" s="26" t="str">
        <f>TRIM(INDEX(Orçamentária!C:C,MATCH(Composições!A4970,Orçamentária!A:A,0),1))</f>
        <v>un</v>
      </c>
      <c r="E4970" s="27"/>
      <c r="F4970" s="49" t="s">
        <v>572</v>
      </c>
      <c r="G4970" s="28" t="str">
        <f t="shared" si="87"/>
        <v/>
      </c>
      <c r="H4970" s="29"/>
      <c r="I4970" s="30"/>
      <c r="J4970" s="156">
        <v>41</v>
      </c>
    </row>
    <row r="4971" spans="1:10" x14ac:dyDescent="0.25">
      <c r="A4971" s="227"/>
      <c r="B4971" s="225"/>
      <c r="C4971" s="32"/>
      <c r="D4971" s="32"/>
      <c r="E4971" s="33"/>
      <c r="F4971" s="54" t="s">
        <v>572</v>
      </c>
      <c r="G4971" s="54" t="str">
        <f t="shared" si="87"/>
        <v/>
      </c>
      <c r="H4971" s="73"/>
      <c r="I4971" s="74"/>
      <c r="J4971" s="156">
        <v>41</v>
      </c>
    </row>
    <row r="4972" spans="1:10" ht="25.5" x14ac:dyDescent="0.25">
      <c r="A4972" s="227"/>
      <c r="B4972" s="225"/>
      <c r="C4972" s="36" t="s">
        <v>1012</v>
      </c>
      <c r="D4972" s="47" t="s">
        <v>759</v>
      </c>
      <c r="E4972" s="37">
        <v>0.93</v>
      </c>
      <c r="F4972" s="31">
        <v>16.891000000000002</v>
      </c>
      <c r="G4972" s="54">
        <f t="shared" si="87"/>
        <v>15.708630000000003</v>
      </c>
      <c r="H4972" s="39">
        <f>SUM(G4972:G4974)</f>
        <v>180.23708999999999</v>
      </c>
      <c r="I4972" s="40"/>
      <c r="J4972" s="156">
        <v>41</v>
      </c>
    </row>
    <row r="4973" spans="1:10" ht="25.5" x14ac:dyDescent="0.25">
      <c r="A4973" s="227"/>
      <c r="B4973" s="225"/>
      <c r="C4973" s="36" t="s">
        <v>1013</v>
      </c>
      <c r="D4973" s="36" t="s">
        <v>759</v>
      </c>
      <c r="E4973" s="37">
        <v>0.93</v>
      </c>
      <c r="F4973" s="31">
        <v>21.622</v>
      </c>
      <c r="G4973" s="54">
        <f t="shared" si="87"/>
        <v>20.108460000000001</v>
      </c>
      <c r="H4973" s="73"/>
      <c r="I4973" s="74"/>
      <c r="J4973" s="156">
        <v>41</v>
      </c>
    </row>
    <row r="4974" spans="1:10" x14ac:dyDescent="0.25">
      <c r="A4974" s="227"/>
      <c r="B4974" s="225"/>
      <c r="C4974" s="36" t="s">
        <v>3764</v>
      </c>
      <c r="D4974" s="36" t="s">
        <v>299</v>
      </c>
      <c r="E4974" s="37">
        <v>1</v>
      </c>
      <c r="F4974" s="31">
        <v>144.41999999999999</v>
      </c>
      <c r="G4974" s="54">
        <f t="shared" si="87"/>
        <v>144.41999999999999</v>
      </c>
      <c r="H4974" s="73"/>
      <c r="I4974" s="74"/>
      <c r="J4974" s="156">
        <v>41</v>
      </c>
    </row>
    <row r="4975" spans="1:10" ht="15.75" thickBot="1" x14ac:dyDescent="0.3">
      <c r="A4975" s="227"/>
      <c r="B4975" s="225"/>
      <c r="C4975" s="36"/>
      <c r="D4975" s="47"/>
      <c r="E4975" s="37"/>
      <c r="F4975" s="54" t="s">
        <v>572</v>
      </c>
      <c r="G4975" s="54" t="str">
        <f t="shared" si="87"/>
        <v/>
      </c>
      <c r="H4975" s="73"/>
      <c r="I4975" s="74"/>
      <c r="J4975" s="156">
        <v>41</v>
      </c>
    </row>
    <row r="4976" spans="1:10" ht="15.75" thickBot="1" x14ac:dyDescent="0.3">
      <c r="A4976" s="221" t="s">
        <v>3706</v>
      </c>
      <c r="B4976" s="224" t="str">
        <f>INDEX(Orçamentária!A:B,MATCH(Composições!A4976,Orçamentária!A:A,0),2)</f>
        <v>Curva raio curto 45° em aço carbono para solda de topo DN 125 (5" NPS)</v>
      </c>
      <c r="C4976" s="41"/>
      <c r="D4976" s="26" t="str">
        <f>TRIM(INDEX(Orçamentária!C:C,MATCH(Composições!A4976,Orçamentária!A:A,0),1))</f>
        <v>un</v>
      </c>
      <c r="E4976" s="27"/>
      <c r="F4976" s="49" t="s">
        <v>572</v>
      </c>
      <c r="G4976" s="28" t="str">
        <f t="shared" si="87"/>
        <v/>
      </c>
      <c r="H4976" s="29"/>
      <c r="I4976" s="30"/>
      <c r="J4976" s="156">
        <v>2</v>
      </c>
    </row>
    <row r="4977" spans="1:10" x14ac:dyDescent="0.25">
      <c r="A4977" s="227"/>
      <c r="B4977" s="225"/>
      <c r="C4977" s="32"/>
      <c r="D4977" s="32"/>
      <c r="E4977" s="33"/>
      <c r="F4977" s="54" t="s">
        <v>572</v>
      </c>
      <c r="G4977" s="54" t="str">
        <f t="shared" si="87"/>
        <v/>
      </c>
      <c r="H4977" s="73"/>
      <c r="I4977" s="74"/>
      <c r="J4977" s="156">
        <v>2</v>
      </c>
    </row>
    <row r="4978" spans="1:10" x14ac:dyDescent="0.25">
      <c r="A4978" s="227"/>
      <c r="B4978" s="225"/>
      <c r="C4978" s="36" t="s">
        <v>1254</v>
      </c>
      <c r="D4978" s="47" t="s">
        <v>957</v>
      </c>
      <c r="E4978" s="37">
        <f>ROUND(0.089*1.3,4)</f>
        <v>0.1157</v>
      </c>
      <c r="F4978" s="31">
        <v>18.1355</v>
      </c>
      <c r="G4978" s="54">
        <f t="shared" si="87"/>
        <v>2.09827735</v>
      </c>
      <c r="H4978" s="39">
        <f>SUM(G4978:G4982)</f>
        <v>157.63449885000003</v>
      </c>
      <c r="I4978" s="40"/>
      <c r="J4978" s="156">
        <v>2</v>
      </c>
    </row>
    <row r="4979" spans="1:10" ht="25.5" x14ac:dyDescent="0.25">
      <c r="A4979" s="227"/>
      <c r="B4979" s="225"/>
      <c r="C4979" s="36" t="s">
        <v>3765</v>
      </c>
      <c r="D4979" s="36" t="s">
        <v>299</v>
      </c>
      <c r="E4979" s="37">
        <v>1</v>
      </c>
      <c r="F4979" s="31">
        <v>81.650000000000006</v>
      </c>
      <c r="G4979" s="54">
        <f t="shared" si="87"/>
        <v>81.650000000000006</v>
      </c>
      <c r="H4979" s="73"/>
      <c r="I4979" s="74"/>
      <c r="J4979" s="156">
        <v>2</v>
      </c>
    </row>
    <row r="4980" spans="1:10" ht="25.5" x14ac:dyDescent="0.25">
      <c r="A4980" s="227"/>
      <c r="B4980" s="225"/>
      <c r="C4980" s="36" t="s">
        <v>1012</v>
      </c>
      <c r="D4980" s="47" t="s">
        <v>759</v>
      </c>
      <c r="E4980" s="37">
        <f>ROUND(0.93*1.3,4)</f>
        <v>1.2090000000000001</v>
      </c>
      <c r="F4980" s="31">
        <v>16.891000000000002</v>
      </c>
      <c r="G4980" s="54">
        <f t="shared" si="87"/>
        <v>20.421219000000004</v>
      </c>
      <c r="H4980" s="73"/>
      <c r="I4980" s="74"/>
      <c r="J4980" s="156">
        <v>2</v>
      </c>
    </row>
    <row r="4981" spans="1:10" ht="25.5" x14ac:dyDescent="0.25">
      <c r="A4981" s="227"/>
      <c r="B4981" s="225"/>
      <c r="C4981" s="36" t="s">
        <v>1013</v>
      </c>
      <c r="D4981" s="36" t="s">
        <v>759</v>
      </c>
      <c r="E4981" s="37">
        <f>ROUND(0.93*1.3,4)</f>
        <v>1.2090000000000001</v>
      </c>
      <c r="F4981" s="31">
        <v>21.622</v>
      </c>
      <c r="G4981" s="54">
        <f t="shared" si="87"/>
        <v>26.140998</v>
      </c>
      <c r="H4981" s="73"/>
      <c r="I4981" s="74"/>
      <c r="J4981" s="156">
        <v>2</v>
      </c>
    </row>
    <row r="4982" spans="1:10" x14ac:dyDescent="0.25">
      <c r="A4982" s="227"/>
      <c r="B4982" s="225"/>
      <c r="C4982" s="36" t="s">
        <v>3437</v>
      </c>
      <c r="D4982" s="36" t="s">
        <v>759</v>
      </c>
      <c r="E4982" s="37">
        <f>ROUND(0.93*1.3,4)</f>
        <v>1.2090000000000001</v>
      </c>
      <c r="F4982" s="54">
        <v>22.600499999999997</v>
      </c>
      <c r="G4982" s="54">
        <f t="shared" si="87"/>
        <v>27.324004499999997</v>
      </c>
      <c r="H4982" s="73"/>
      <c r="I4982" s="74"/>
      <c r="J4982" s="156">
        <v>2</v>
      </c>
    </row>
    <row r="4983" spans="1:10" ht="15.75" thickBot="1" x14ac:dyDescent="0.3">
      <c r="A4983" s="227"/>
      <c r="B4983" s="225"/>
      <c r="C4983" s="36"/>
      <c r="D4983" s="47"/>
      <c r="E4983" s="37"/>
      <c r="F4983" s="54" t="s">
        <v>572</v>
      </c>
      <c r="G4983" s="54" t="str">
        <f t="shared" si="87"/>
        <v/>
      </c>
      <c r="H4983" s="73"/>
      <c r="I4983" s="74"/>
      <c r="J4983" s="156">
        <v>2</v>
      </c>
    </row>
    <row r="4984" spans="1:10" ht="15.75" thickBot="1" x14ac:dyDescent="0.3">
      <c r="A4984" s="221" t="s">
        <v>3708</v>
      </c>
      <c r="B4984" s="224" t="str">
        <f>INDEX(Orçamentária!A:B,MATCH(Composições!A4984,Orçamentária!A:A,0),2)</f>
        <v>Curva raio curto 90° em aço carbono para solda de topo DN 125 (5" NPS)</v>
      </c>
      <c r="C4984" s="41"/>
      <c r="D4984" s="26" t="str">
        <f>TRIM(INDEX(Orçamentária!C:C,MATCH(Composições!A4984,Orçamentária!A:A,0),1))</f>
        <v>un</v>
      </c>
      <c r="E4984" s="27"/>
      <c r="F4984" s="49" t="s">
        <v>572</v>
      </c>
      <c r="G4984" s="28" t="str">
        <f t="shared" si="87"/>
        <v/>
      </c>
      <c r="H4984" s="29"/>
      <c r="I4984" s="30"/>
      <c r="J4984" s="156">
        <v>2</v>
      </c>
    </row>
    <row r="4985" spans="1:10" x14ac:dyDescent="0.25">
      <c r="A4985" s="227"/>
      <c r="B4985" s="225"/>
      <c r="C4985" s="32"/>
      <c r="D4985" s="32"/>
      <c r="E4985" s="33"/>
      <c r="F4985" s="54" t="s">
        <v>572</v>
      </c>
      <c r="G4985" s="54" t="str">
        <f t="shared" si="87"/>
        <v/>
      </c>
      <c r="H4985" s="73"/>
      <c r="I4985" s="74"/>
      <c r="J4985" s="156">
        <v>2</v>
      </c>
    </row>
    <row r="4986" spans="1:10" x14ac:dyDescent="0.25">
      <c r="A4986" s="227"/>
      <c r="B4986" s="225"/>
      <c r="C4986" s="36" t="s">
        <v>1254</v>
      </c>
      <c r="D4986" s="47" t="s">
        <v>957</v>
      </c>
      <c r="E4986" s="37">
        <f>ROUND(0.089*1.3,4)</f>
        <v>0.1157</v>
      </c>
      <c r="F4986" s="31">
        <v>18.1355</v>
      </c>
      <c r="G4986" s="54">
        <f t="shared" si="87"/>
        <v>2.09827735</v>
      </c>
      <c r="H4986" s="39">
        <f>SUM(G4986:G4990)</f>
        <v>215.44449885</v>
      </c>
      <c r="I4986" s="40"/>
      <c r="J4986" s="156">
        <v>2</v>
      </c>
    </row>
    <row r="4987" spans="1:10" ht="25.5" x14ac:dyDescent="0.25">
      <c r="A4987" s="227"/>
      <c r="B4987" s="225"/>
      <c r="C4987" s="36" t="s">
        <v>3766</v>
      </c>
      <c r="D4987" s="36" t="s">
        <v>299</v>
      </c>
      <c r="E4987" s="37">
        <v>1</v>
      </c>
      <c r="F4987" s="31">
        <v>139.46</v>
      </c>
      <c r="G4987" s="54">
        <f t="shared" si="87"/>
        <v>139.46</v>
      </c>
      <c r="H4987" s="73"/>
      <c r="I4987" s="74"/>
      <c r="J4987" s="156">
        <v>2</v>
      </c>
    </row>
    <row r="4988" spans="1:10" ht="25.5" x14ac:dyDescent="0.25">
      <c r="A4988" s="227"/>
      <c r="B4988" s="225"/>
      <c r="C4988" s="36" t="s">
        <v>1012</v>
      </c>
      <c r="D4988" s="47" t="s">
        <v>759</v>
      </c>
      <c r="E4988" s="37">
        <f>ROUND(0.93*1.3,4)</f>
        <v>1.2090000000000001</v>
      </c>
      <c r="F4988" s="31">
        <v>16.891000000000002</v>
      </c>
      <c r="G4988" s="54">
        <f t="shared" si="87"/>
        <v>20.421219000000004</v>
      </c>
      <c r="H4988" s="73"/>
      <c r="I4988" s="74"/>
      <c r="J4988" s="156">
        <v>2</v>
      </c>
    </row>
    <row r="4989" spans="1:10" ht="25.5" x14ac:dyDescent="0.25">
      <c r="A4989" s="227"/>
      <c r="B4989" s="225"/>
      <c r="C4989" s="36" t="s">
        <v>1013</v>
      </c>
      <c r="D4989" s="36" t="s">
        <v>759</v>
      </c>
      <c r="E4989" s="37">
        <f>ROUND(0.93*1.3,4)</f>
        <v>1.2090000000000001</v>
      </c>
      <c r="F4989" s="31">
        <v>21.622</v>
      </c>
      <c r="G4989" s="54">
        <f t="shared" si="87"/>
        <v>26.140998</v>
      </c>
      <c r="H4989" s="73"/>
      <c r="I4989" s="74"/>
      <c r="J4989" s="156">
        <v>2</v>
      </c>
    </row>
    <row r="4990" spans="1:10" x14ac:dyDescent="0.25">
      <c r="A4990" s="227"/>
      <c r="B4990" s="225"/>
      <c r="C4990" s="36" t="s">
        <v>3437</v>
      </c>
      <c r="D4990" s="36" t="s">
        <v>759</v>
      </c>
      <c r="E4990" s="37">
        <f>ROUND(0.93*1.3,4)</f>
        <v>1.2090000000000001</v>
      </c>
      <c r="F4990" s="54">
        <v>22.600499999999997</v>
      </c>
      <c r="G4990" s="54">
        <f t="shared" si="87"/>
        <v>27.324004499999997</v>
      </c>
      <c r="H4990" s="73"/>
      <c r="I4990" s="74"/>
      <c r="J4990" s="156">
        <v>2</v>
      </c>
    </row>
    <row r="4991" spans="1:10" ht="15.75" thickBot="1" x14ac:dyDescent="0.3">
      <c r="A4991" s="227"/>
      <c r="B4991" s="225"/>
      <c r="C4991" s="36"/>
      <c r="D4991" s="47"/>
      <c r="E4991" s="37"/>
      <c r="F4991" s="54" t="s">
        <v>572</v>
      </c>
      <c r="G4991" s="54" t="str">
        <f t="shared" si="87"/>
        <v/>
      </c>
      <c r="H4991" s="73"/>
      <c r="I4991" s="74"/>
      <c r="J4991" s="156">
        <v>2</v>
      </c>
    </row>
    <row r="4992" spans="1:10" ht="15.75" thickBot="1" x14ac:dyDescent="0.3">
      <c r="A4992" s="221" t="s">
        <v>3710</v>
      </c>
      <c r="B4992" s="224" t="str">
        <f>INDEX(Orçamentária!A:B,MATCH(Composições!A4992,Orçamentária!A:A,0),2)</f>
        <v>Curva raio longo 90° em aço carbono para solda de topo DN 125 (5" NPS)</v>
      </c>
      <c r="C4992" s="41"/>
      <c r="D4992" s="26" t="str">
        <f>TRIM(INDEX(Orçamentária!C:C,MATCH(Composições!A4992,Orçamentária!A:A,0),1))</f>
        <v>un</v>
      </c>
      <c r="E4992" s="27"/>
      <c r="F4992" s="49" t="s">
        <v>572</v>
      </c>
      <c r="G4992" s="28" t="str">
        <f t="shared" si="87"/>
        <v/>
      </c>
      <c r="H4992" s="29"/>
      <c r="I4992" s="30"/>
      <c r="J4992" s="156">
        <v>8</v>
      </c>
    </row>
    <row r="4993" spans="1:10" x14ac:dyDescent="0.25">
      <c r="A4993" s="227"/>
      <c r="B4993" s="225"/>
      <c r="C4993" s="32"/>
      <c r="D4993" s="32"/>
      <c r="E4993" s="33"/>
      <c r="F4993" s="54" t="s">
        <v>572</v>
      </c>
      <c r="G4993" s="54" t="str">
        <f t="shared" si="87"/>
        <v/>
      </c>
      <c r="H4993" s="73"/>
      <c r="I4993" s="74"/>
      <c r="J4993" s="156">
        <v>8</v>
      </c>
    </row>
    <row r="4994" spans="1:10" x14ac:dyDescent="0.25">
      <c r="A4994" s="227"/>
      <c r="B4994" s="225"/>
      <c r="C4994" s="36" t="s">
        <v>1254</v>
      </c>
      <c r="D4994" s="47" t="s">
        <v>957</v>
      </c>
      <c r="E4994" s="37">
        <f>ROUND(0.089*1.3,4)</f>
        <v>0.1157</v>
      </c>
      <c r="F4994" s="31">
        <v>18.1355</v>
      </c>
      <c r="G4994" s="54">
        <f t="shared" si="87"/>
        <v>2.09827735</v>
      </c>
      <c r="H4994" s="39">
        <f>SUM(G4994:G4998)</f>
        <v>222.83449884999999</v>
      </c>
      <c r="I4994" s="40"/>
      <c r="J4994" s="156">
        <v>8</v>
      </c>
    </row>
    <row r="4995" spans="1:10" ht="25.5" x14ac:dyDescent="0.25">
      <c r="A4995" s="227"/>
      <c r="B4995" s="225"/>
      <c r="C4995" s="36" t="s">
        <v>3767</v>
      </c>
      <c r="D4995" s="36" t="s">
        <v>299</v>
      </c>
      <c r="E4995" s="37">
        <v>1</v>
      </c>
      <c r="F4995" s="31">
        <v>146.85</v>
      </c>
      <c r="G4995" s="54">
        <f t="shared" si="87"/>
        <v>146.85</v>
      </c>
      <c r="H4995" s="73"/>
      <c r="I4995" s="74"/>
      <c r="J4995" s="156">
        <v>8</v>
      </c>
    </row>
    <row r="4996" spans="1:10" ht="25.5" x14ac:dyDescent="0.25">
      <c r="A4996" s="227"/>
      <c r="B4996" s="225"/>
      <c r="C4996" s="36" t="s">
        <v>1012</v>
      </c>
      <c r="D4996" s="47" t="s">
        <v>759</v>
      </c>
      <c r="E4996" s="37">
        <f>ROUND(0.93*1.3,4)</f>
        <v>1.2090000000000001</v>
      </c>
      <c r="F4996" s="31">
        <v>16.891000000000002</v>
      </c>
      <c r="G4996" s="54">
        <f t="shared" si="87"/>
        <v>20.421219000000004</v>
      </c>
      <c r="H4996" s="73"/>
      <c r="I4996" s="74"/>
      <c r="J4996" s="156">
        <v>8</v>
      </c>
    </row>
    <row r="4997" spans="1:10" ht="25.5" x14ac:dyDescent="0.25">
      <c r="A4997" s="227"/>
      <c r="B4997" s="225"/>
      <c r="C4997" s="36" t="s">
        <v>1013</v>
      </c>
      <c r="D4997" s="36" t="s">
        <v>759</v>
      </c>
      <c r="E4997" s="37">
        <f>ROUND(0.93*1.3,4)</f>
        <v>1.2090000000000001</v>
      </c>
      <c r="F4997" s="31">
        <v>21.622</v>
      </c>
      <c r="G4997" s="54">
        <f t="shared" si="87"/>
        <v>26.140998</v>
      </c>
      <c r="H4997" s="73"/>
      <c r="I4997" s="74"/>
      <c r="J4997" s="156">
        <v>8</v>
      </c>
    </row>
    <row r="4998" spans="1:10" x14ac:dyDescent="0.25">
      <c r="A4998" s="227"/>
      <c r="B4998" s="225"/>
      <c r="C4998" s="36" t="s">
        <v>3437</v>
      </c>
      <c r="D4998" s="36" t="s">
        <v>759</v>
      </c>
      <c r="E4998" s="37">
        <f>ROUND(0.93*1.3,4)</f>
        <v>1.2090000000000001</v>
      </c>
      <c r="F4998" s="54">
        <v>22.600499999999997</v>
      </c>
      <c r="G4998" s="54">
        <f t="shared" si="87"/>
        <v>27.324004499999997</v>
      </c>
      <c r="H4998" s="73"/>
      <c r="I4998" s="74"/>
      <c r="J4998" s="156">
        <v>8</v>
      </c>
    </row>
    <row r="4999" spans="1:10" ht="15.75" thickBot="1" x14ac:dyDescent="0.3">
      <c r="A4999" s="227"/>
      <c r="B4999" s="225"/>
      <c r="C4999" s="36"/>
      <c r="D4999" s="47"/>
      <c r="E4999" s="37"/>
      <c r="F4999" s="54" t="s">
        <v>572</v>
      </c>
      <c r="G4999" s="54" t="str">
        <f t="shared" si="87"/>
        <v/>
      </c>
      <c r="H4999" s="73"/>
      <c r="I4999" s="74"/>
      <c r="J4999" s="156">
        <v>8</v>
      </c>
    </row>
    <row r="5000" spans="1:10" ht="15.75" thickBot="1" x14ac:dyDescent="0.3">
      <c r="A5000" s="221" t="s">
        <v>3712</v>
      </c>
      <c r="B5000" s="224" t="str">
        <f>INDEX(Orçamentária!A:B,MATCH(Composições!A5000,Orçamentária!A:A,0),2)</f>
        <v>Curva raio longo 90° em aço carbono para solda de topo DN 200 (8" NPS)</v>
      </c>
      <c r="C5000" s="41"/>
      <c r="D5000" s="26" t="str">
        <f>TRIM(INDEX(Orçamentária!C:C,MATCH(Composições!A5000,Orçamentária!A:A,0),1))</f>
        <v>un</v>
      </c>
      <c r="E5000" s="27"/>
      <c r="F5000" s="49" t="s">
        <v>572</v>
      </c>
      <c r="G5000" s="28" t="str">
        <f t="shared" si="87"/>
        <v/>
      </c>
      <c r="H5000" s="29"/>
      <c r="I5000" s="30"/>
      <c r="J5000" s="156">
        <v>2</v>
      </c>
    </row>
    <row r="5001" spans="1:10" x14ac:dyDescent="0.25">
      <c r="A5001" s="227"/>
      <c r="B5001" s="225"/>
      <c r="C5001" s="32"/>
      <c r="D5001" s="32"/>
      <c r="E5001" s="33"/>
      <c r="F5001" s="54" t="s">
        <v>572</v>
      </c>
      <c r="G5001" s="54" t="str">
        <f t="shared" ref="G5001:G5032" si="88">IF(ISNUMBER(F5001),E5001*F5001,"")</f>
        <v/>
      </c>
      <c r="H5001" s="73"/>
      <c r="I5001" s="74"/>
      <c r="J5001" s="156">
        <v>2</v>
      </c>
    </row>
    <row r="5002" spans="1:10" x14ac:dyDescent="0.25">
      <c r="A5002" s="227"/>
      <c r="B5002" s="225"/>
      <c r="C5002" s="36" t="s">
        <v>1254</v>
      </c>
      <c r="D5002" s="47" t="s">
        <v>957</v>
      </c>
      <c r="E5002" s="37">
        <f>ROUND(0.089*1.5,4)</f>
        <v>0.13350000000000001</v>
      </c>
      <c r="F5002" s="31">
        <v>18.1355</v>
      </c>
      <c r="G5002" s="54">
        <f t="shared" si="88"/>
        <v>2.4210892500000001</v>
      </c>
      <c r="H5002" s="39">
        <f>SUM(G5002:G5006)</f>
        <v>556.83442175000016</v>
      </c>
      <c r="I5002" s="40"/>
      <c r="J5002" s="156">
        <v>2</v>
      </c>
    </row>
    <row r="5003" spans="1:10" ht="25.5" x14ac:dyDescent="0.25">
      <c r="A5003" s="227"/>
      <c r="B5003" s="225"/>
      <c r="C5003" s="36" t="s">
        <v>3768</v>
      </c>
      <c r="D5003" s="36" t="s">
        <v>299</v>
      </c>
      <c r="E5003" s="37">
        <v>1</v>
      </c>
      <c r="F5003" s="31">
        <v>469.16</v>
      </c>
      <c r="G5003" s="54">
        <f t="shared" si="88"/>
        <v>469.16</v>
      </c>
      <c r="H5003" s="73"/>
      <c r="I5003" s="74"/>
      <c r="J5003" s="156">
        <v>2</v>
      </c>
    </row>
    <row r="5004" spans="1:10" ht="25.5" x14ac:dyDescent="0.25">
      <c r="A5004" s="227"/>
      <c r="B5004" s="225"/>
      <c r="C5004" s="36" t="s">
        <v>1012</v>
      </c>
      <c r="D5004" s="47" t="s">
        <v>759</v>
      </c>
      <c r="E5004" s="37">
        <f>ROUND(0.93*1.5,4)</f>
        <v>1.395</v>
      </c>
      <c r="F5004" s="31">
        <v>16.891000000000002</v>
      </c>
      <c r="G5004" s="54">
        <f t="shared" si="88"/>
        <v>23.562945000000003</v>
      </c>
      <c r="H5004" s="73"/>
      <c r="I5004" s="74"/>
      <c r="J5004" s="156">
        <v>2</v>
      </c>
    </row>
    <row r="5005" spans="1:10" ht="25.5" x14ac:dyDescent="0.25">
      <c r="A5005" s="227"/>
      <c r="B5005" s="225"/>
      <c r="C5005" s="36" t="s">
        <v>1013</v>
      </c>
      <c r="D5005" s="36" t="s">
        <v>759</v>
      </c>
      <c r="E5005" s="37">
        <f>ROUND(0.93*1.5,4)</f>
        <v>1.395</v>
      </c>
      <c r="F5005" s="31">
        <v>21.622</v>
      </c>
      <c r="G5005" s="54">
        <f t="shared" si="88"/>
        <v>30.162690000000001</v>
      </c>
      <c r="H5005" s="73"/>
      <c r="I5005" s="74"/>
      <c r="J5005" s="156">
        <v>2</v>
      </c>
    </row>
    <row r="5006" spans="1:10" x14ac:dyDescent="0.25">
      <c r="A5006" s="227"/>
      <c r="B5006" s="225"/>
      <c r="C5006" s="36" t="s">
        <v>3437</v>
      </c>
      <c r="D5006" s="36" t="s">
        <v>759</v>
      </c>
      <c r="E5006" s="37">
        <f>ROUND(0.93*1.5,4)</f>
        <v>1.395</v>
      </c>
      <c r="F5006" s="54">
        <v>22.600499999999997</v>
      </c>
      <c r="G5006" s="54">
        <f t="shared" si="88"/>
        <v>31.527697499999995</v>
      </c>
      <c r="H5006" s="73"/>
      <c r="I5006" s="74"/>
      <c r="J5006" s="156">
        <v>2</v>
      </c>
    </row>
    <row r="5007" spans="1:10" ht="15.75" thickBot="1" x14ac:dyDescent="0.3">
      <c r="A5007" s="227"/>
      <c r="B5007" s="225"/>
      <c r="C5007" s="36"/>
      <c r="D5007" s="47"/>
      <c r="E5007" s="37"/>
      <c r="F5007" s="54" t="s">
        <v>572</v>
      </c>
      <c r="G5007" s="54" t="str">
        <f t="shared" si="88"/>
        <v/>
      </c>
      <c r="H5007" s="73"/>
      <c r="I5007" s="74"/>
      <c r="J5007" s="156">
        <v>2</v>
      </c>
    </row>
    <row r="5008" spans="1:10" ht="15.75" thickBot="1" x14ac:dyDescent="0.3">
      <c r="A5008" s="221" t="s">
        <v>3714</v>
      </c>
      <c r="B5008" s="224" t="str">
        <f>INDEX(Orçamentária!A:B,MATCH(Composições!A5008,Orçamentária!A:A,0),2)</f>
        <v>Eliminador de ar para líquidos DN 20 (3/4" NPS)</v>
      </c>
      <c r="C5008" s="41"/>
      <c r="D5008" s="26" t="str">
        <f>TRIM(INDEX(Orçamentária!C:C,MATCH(Composições!A5008,Orçamentária!A:A,0),1))</f>
        <v>un</v>
      </c>
      <c r="E5008" s="27"/>
      <c r="F5008" s="49" t="s">
        <v>572</v>
      </c>
      <c r="G5008" s="28" t="str">
        <f t="shared" si="88"/>
        <v/>
      </c>
      <c r="H5008" s="29"/>
      <c r="I5008" s="30"/>
      <c r="J5008" s="156">
        <v>1</v>
      </c>
    </row>
    <row r="5009" spans="1:10" x14ac:dyDescent="0.25">
      <c r="A5009" s="227"/>
      <c r="B5009" s="225"/>
      <c r="C5009" s="32"/>
      <c r="D5009" s="32"/>
      <c r="E5009" s="33"/>
      <c r="F5009" s="54" t="s">
        <v>572</v>
      </c>
      <c r="G5009" s="54" t="str">
        <f t="shared" si="88"/>
        <v/>
      </c>
      <c r="H5009" s="73"/>
      <c r="I5009" s="74"/>
      <c r="J5009" s="156">
        <v>1</v>
      </c>
    </row>
    <row r="5010" spans="1:10" ht="25.5" x14ac:dyDescent="0.25">
      <c r="A5010" s="227"/>
      <c r="B5010" s="225"/>
      <c r="C5010" s="36" t="s">
        <v>3769</v>
      </c>
      <c r="D5010" s="36" t="s">
        <v>299</v>
      </c>
      <c r="E5010" s="37">
        <v>1</v>
      </c>
      <c r="F5010" s="31">
        <v>1256.02</v>
      </c>
      <c r="G5010" s="54">
        <f t="shared" si="88"/>
        <v>1256.02</v>
      </c>
      <c r="H5010" s="39">
        <f>SUM(G5010:G5012)</f>
        <v>1271.1170960000002</v>
      </c>
      <c r="I5010" s="40"/>
      <c r="J5010" s="156">
        <v>1</v>
      </c>
    </row>
    <row r="5011" spans="1:10" ht="25.5" x14ac:dyDescent="0.25">
      <c r="A5011" s="227"/>
      <c r="B5011" s="225"/>
      <c r="C5011" s="36" t="s">
        <v>1012</v>
      </c>
      <c r="D5011" s="47" t="s">
        <v>759</v>
      </c>
      <c r="E5011" s="37">
        <v>0.39200000000000002</v>
      </c>
      <c r="F5011" s="31">
        <v>16.891000000000002</v>
      </c>
      <c r="G5011" s="54">
        <f t="shared" si="88"/>
        <v>6.6212720000000012</v>
      </c>
      <c r="H5011" s="73"/>
      <c r="I5011" s="74"/>
      <c r="J5011" s="156">
        <v>1</v>
      </c>
    </row>
    <row r="5012" spans="1:10" ht="25.5" x14ac:dyDescent="0.25">
      <c r="A5012" s="227"/>
      <c r="B5012" s="225"/>
      <c r="C5012" s="36" t="s">
        <v>1013</v>
      </c>
      <c r="D5012" s="36" t="s">
        <v>759</v>
      </c>
      <c r="E5012" s="37">
        <v>0.39200000000000002</v>
      </c>
      <c r="F5012" s="31">
        <v>21.622</v>
      </c>
      <c r="G5012" s="54">
        <f t="shared" si="88"/>
        <v>8.4758240000000011</v>
      </c>
      <c r="H5012" s="73"/>
      <c r="I5012" s="74"/>
      <c r="J5012" s="156">
        <v>1</v>
      </c>
    </row>
    <row r="5013" spans="1:10" ht="15.75" thickBot="1" x14ac:dyDescent="0.3">
      <c r="A5013" s="227"/>
      <c r="B5013" s="225"/>
      <c r="C5013" s="36"/>
      <c r="D5013" s="47"/>
      <c r="E5013" s="37"/>
      <c r="F5013" s="54" t="s">
        <v>572</v>
      </c>
      <c r="G5013" s="54" t="str">
        <f t="shared" si="88"/>
        <v/>
      </c>
      <c r="H5013" s="73"/>
      <c r="I5013" s="74"/>
      <c r="J5013" s="156">
        <v>1</v>
      </c>
    </row>
    <row r="5014" spans="1:10" ht="15.75" thickBot="1" x14ac:dyDescent="0.3">
      <c r="A5014" s="221" t="s">
        <v>3716</v>
      </c>
      <c r="B5014" s="224" t="str">
        <f>INDEX(Orçamentária!A:B,MATCH(Composições!A5014,Orçamentária!A:A,0),2)</f>
        <v>Flange de pescoço, aço carbono, classe 150, DN 125 (5" NPS)</v>
      </c>
      <c r="C5014" s="41"/>
      <c r="D5014" s="26" t="str">
        <f>TRIM(INDEX(Orçamentária!C:C,MATCH(Composições!A5014,Orçamentária!A:A,0),1))</f>
        <v>un</v>
      </c>
      <c r="E5014" s="27"/>
      <c r="F5014" s="49" t="s">
        <v>572</v>
      </c>
      <c r="G5014" s="28" t="str">
        <f t="shared" si="88"/>
        <v/>
      </c>
      <c r="H5014" s="29"/>
      <c r="I5014" s="30"/>
      <c r="J5014" s="156">
        <v>8</v>
      </c>
    </row>
    <row r="5015" spans="1:10" x14ac:dyDescent="0.25">
      <c r="A5015" s="227"/>
      <c r="B5015" s="225"/>
      <c r="C5015" s="32"/>
      <c r="D5015" s="32"/>
      <c r="E5015" s="33"/>
      <c r="F5015" s="54" t="s">
        <v>572</v>
      </c>
      <c r="G5015" s="54" t="str">
        <f t="shared" si="88"/>
        <v/>
      </c>
      <c r="H5015" s="73"/>
      <c r="I5015" s="74"/>
      <c r="J5015" s="156">
        <v>8</v>
      </c>
    </row>
    <row r="5016" spans="1:10" x14ac:dyDescent="0.25">
      <c r="A5016" s="227"/>
      <c r="B5016" s="225"/>
      <c r="C5016" s="36" t="s">
        <v>1254</v>
      </c>
      <c r="D5016" s="47" t="s">
        <v>957</v>
      </c>
      <c r="E5016" s="37">
        <f>ROUND(0.089*1.3,4)</f>
        <v>0.1157</v>
      </c>
      <c r="F5016" s="31">
        <v>18.1355</v>
      </c>
      <c r="G5016" s="54">
        <f t="shared" si="88"/>
        <v>2.09827735</v>
      </c>
      <c r="H5016" s="39">
        <f>SUM(G5016:G5020)</f>
        <v>445.31449885000001</v>
      </c>
      <c r="I5016" s="40"/>
      <c r="J5016" s="156">
        <v>8</v>
      </c>
    </row>
    <row r="5017" spans="1:10" x14ac:dyDescent="0.25">
      <c r="A5017" s="227"/>
      <c r="B5017" s="225"/>
      <c r="C5017" s="36" t="s">
        <v>3770</v>
      </c>
      <c r="D5017" s="36" t="s">
        <v>299</v>
      </c>
      <c r="E5017" s="37">
        <v>1</v>
      </c>
      <c r="F5017" s="31">
        <v>369.33</v>
      </c>
      <c r="G5017" s="54">
        <f t="shared" si="88"/>
        <v>369.33</v>
      </c>
      <c r="H5017" s="73"/>
      <c r="I5017" s="74"/>
      <c r="J5017" s="156">
        <v>8</v>
      </c>
    </row>
    <row r="5018" spans="1:10" ht="25.5" x14ac:dyDescent="0.25">
      <c r="A5018" s="227"/>
      <c r="B5018" s="225"/>
      <c r="C5018" s="36" t="s">
        <v>1012</v>
      </c>
      <c r="D5018" s="47" t="s">
        <v>759</v>
      </c>
      <c r="E5018" s="37">
        <f>ROUND(0.93*1.3,4)</f>
        <v>1.2090000000000001</v>
      </c>
      <c r="F5018" s="31">
        <v>16.891000000000002</v>
      </c>
      <c r="G5018" s="54">
        <f t="shared" si="88"/>
        <v>20.421219000000004</v>
      </c>
      <c r="H5018" s="73"/>
      <c r="I5018" s="74"/>
      <c r="J5018" s="156">
        <v>8</v>
      </c>
    </row>
    <row r="5019" spans="1:10" ht="25.5" x14ac:dyDescent="0.25">
      <c r="A5019" s="227"/>
      <c r="B5019" s="225"/>
      <c r="C5019" s="36" t="s">
        <v>1013</v>
      </c>
      <c r="D5019" s="36" t="s">
        <v>759</v>
      </c>
      <c r="E5019" s="37">
        <f>ROUND(0.93*1.3,4)</f>
        <v>1.2090000000000001</v>
      </c>
      <c r="F5019" s="31">
        <v>21.622</v>
      </c>
      <c r="G5019" s="54">
        <f t="shared" si="88"/>
        <v>26.140998</v>
      </c>
      <c r="H5019" s="73"/>
      <c r="I5019" s="74"/>
      <c r="J5019" s="156">
        <v>8</v>
      </c>
    </row>
    <row r="5020" spans="1:10" x14ac:dyDescent="0.25">
      <c r="A5020" s="227"/>
      <c r="B5020" s="225"/>
      <c r="C5020" s="36" t="s">
        <v>3437</v>
      </c>
      <c r="D5020" s="36" t="s">
        <v>759</v>
      </c>
      <c r="E5020" s="37">
        <f>ROUND(0.93*1.3,4)</f>
        <v>1.2090000000000001</v>
      </c>
      <c r="F5020" s="54">
        <v>22.600499999999997</v>
      </c>
      <c r="G5020" s="54">
        <f t="shared" si="88"/>
        <v>27.324004499999997</v>
      </c>
      <c r="H5020" s="73"/>
      <c r="I5020" s="74"/>
      <c r="J5020" s="156">
        <v>8</v>
      </c>
    </row>
    <row r="5021" spans="1:10" ht="15.75" thickBot="1" x14ac:dyDescent="0.3">
      <c r="A5021" s="227"/>
      <c r="B5021" s="225"/>
      <c r="C5021" s="36"/>
      <c r="D5021" s="47"/>
      <c r="E5021" s="37"/>
      <c r="F5021" s="54" t="s">
        <v>572</v>
      </c>
      <c r="G5021" s="54" t="str">
        <f t="shared" si="88"/>
        <v/>
      </c>
      <c r="H5021" s="73"/>
      <c r="I5021" s="74"/>
      <c r="J5021" s="156">
        <v>8</v>
      </c>
    </row>
    <row r="5022" spans="1:10" ht="15.75" thickBot="1" x14ac:dyDescent="0.3">
      <c r="A5022" s="221" t="s">
        <v>3718</v>
      </c>
      <c r="B5022" s="224" t="str">
        <f>INDEX(Orçamentária!A:B,MATCH(Composições!A5022,Orçamentária!A:A,0),2)</f>
        <v>Isolamento elastomérico para tubulações de ferro de 5”</v>
      </c>
      <c r="C5022" s="41"/>
      <c r="D5022" s="26" t="str">
        <f>TRIM(INDEX(Orçamentária!C:C,MATCH(Composições!A5022,Orçamentária!A:A,0),1))</f>
        <v>m</v>
      </c>
      <c r="E5022" s="27"/>
      <c r="F5022" s="49" t="s">
        <v>572</v>
      </c>
      <c r="G5022" s="28" t="str">
        <f t="shared" si="88"/>
        <v/>
      </c>
      <c r="H5022" s="29"/>
      <c r="I5022" s="30"/>
      <c r="J5022" s="156">
        <v>204</v>
      </c>
    </row>
    <row r="5023" spans="1:10" x14ac:dyDescent="0.25">
      <c r="A5023" s="227"/>
      <c r="B5023" s="225"/>
      <c r="C5023" s="32"/>
      <c r="D5023" s="32"/>
      <c r="E5023" s="33"/>
      <c r="F5023" s="54" t="s">
        <v>572</v>
      </c>
      <c r="G5023" s="54" t="str">
        <f t="shared" si="88"/>
        <v/>
      </c>
      <c r="H5023" s="73"/>
      <c r="I5023" s="74"/>
      <c r="J5023" s="156">
        <v>204</v>
      </c>
    </row>
    <row r="5024" spans="1:10" ht="38.25" x14ac:dyDescent="0.25">
      <c r="A5024" s="227"/>
      <c r="B5024" s="225"/>
      <c r="C5024" s="36" t="s">
        <v>3771</v>
      </c>
      <c r="D5024" s="36" t="s">
        <v>94</v>
      </c>
      <c r="E5024" s="37">
        <v>1.0210999999999999</v>
      </c>
      <c r="F5024" s="31">
        <v>56.9</v>
      </c>
      <c r="G5024" s="54">
        <f t="shared" si="88"/>
        <v>58.10058999999999</v>
      </c>
      <c r="H5024" s="39">
        <f>SUM(G5024:G5026)</f>
        <v>61.797837999999992</v>
      </c>
      <c r="I5024" s="40"/>
      <c r="J5024" s="156">
        <v>204</v>
      </c>
    </row>
    <row r="5025" spans="1:10" ht="25.5" x14ac:dyDescent="0.25">
      <c r="A5025" s="227"/>
      <c r="B5025" s="225"/>
      <c r="C5025" s="36" t="s">
        <v>1012</v>
      </c>
      <c r="D5025" s="47" t="s">
        <v>759</v>
      </c>
      <c r="E5025" s="37">
        <f>5*0.064*0.3</f>
        <v>9.6000000000000002E-2</v>
      </c>
      <c r="F5025" s="31">
        <v>16.891000000000002</v>
      </c>
      <c r="G5025" s="54">
        <f t="shared" si="88"/>
        <v>1.6215360000000003</v>
      </c>
      <c r="H5025" s="73"/>
      <c r="I5025" s="74"/>
      <c r="J5025" s="156">
        <v>204</v>
      </c>
    </row>
    <row r="5026" spans="1:10" ht="25.5" x14ac:dyDescent="0.25">
      <c r="A5026" s="227"/>
      <c r="B5026" s="225"/>
      <c r="C5026" s="36" t="s">
        <v>1013</v>
      </c>
      <c r="D5026" s="36" t="s">
        <v>759</v>
      </c>
      <c r="E5026" s="37">
        <f>5*0.064*0.3</f>
        <v>9.6000000000000002E-2</v>
      </c>
      <c r="F5026" s="31">
        <v>21.622</v>
      </c>
      <c r="G5026" s="54">
        <f t="shared" si="88"/>
        <v>2.0757120000000002</v>
      </c>
      <c r="H5026" s="73"/>
      <c r="I5026" s="74"/>
      <c r="J5026" s="156">
        <v>204</v>
      </c>
    </row>
    <row r="5027" spans="1:10" ht="15.75" thickBot="1" x14ac:dyDescent="0.3">
      <c r="A5027" s="227"/>
      <c r="B5027" s="225"/>
      <c r="C5027" s="36"/>
      <c r="D5027" s="47"/>
      <c r="E5027" s="37"/>
      <c r="F5027" s="54" t="s">
        <v>572</v>
      </c>
      <c r="G5027" s="54" t="str">
        <f t="shared" si="88"/>
        <v/>
      </c>
      <c r="H5027" s="73"/>
      <c r="I5027" s="74"/>
      <c r="J5027" s="156">
        <v>204</v>
      </c>
    </row>
    <row r="5028" spans="1:10" ht="15.75" thickBot="1" x14ac:dyDescent="0.3">
      <c r="A5028" s="221" t="s">
        <v>3720</v>
      </c>
      <c r="B5028" s="224" t="str">
        <f>INDEX(Orçamentária!A:B,MATCH(Composições!A5028,Orçamentária!A:A,0),2)</f>
        <v>Meia luva em aço carbono DN 15 (1/2" NPS)</v>
      </c>
      <c r="C5028" s="41"/>
      <c r="D5028" s="26" t="str">
        <f>TRIM(INDEX(Orçamentária!C:C,MATCH(Composições!A5028,Orçamentária!A:A,0),1))</f>
        <v>un</v>
      </c>
      <c r="E5028" s="27"/>
      <c r="F5028" s="49" t="s">
        <v>572</v>
      </c>
      <c r="G5028" s="28" t="str">
        <f t="shared" si="88"/>
        <v/>
      </c>
      <c r="H5028" s="29"/>
      <c r="I5028" s="30"/>
      <c r="J5028" s="156">
        <v>2</v>
      </c>
    </row>
    <row r="5029" spans="1:10" x14ac:dyDescent="0.25">
      <c r="A5029" s="227"/>
      <c r="B5029" s="225"/>
      <c r="C5029" s="32"/>
      <c r="D5029" s="32"/>
      <c r="E5029" s="33"/>
      <c r="F5029" s="54" t="s">
        <v>572</v>
      </c>
      <c r="G5029" s="54" t="str">
        <f t="shared" si="88"/>
        <v/>
      </c>
      <c r="H5029" s="73"/>
      <c r="I5029" s="74"/>
      <c r="J5029" s="156">
        <v>2</v>
      </c>
    </row>
    <row r="5030" spans="1:10" x14ac:dyDescent="0.25">
      <c r="A5030" s="227"/>
      <c r="B5030" s="225"/>
      <c r="C5030" s="36" t="s">
        <v>1254</v>
      </c>
      <c r="D5030" s="47" t="s">
        <v>957</v>
      </c>
      <c r="E5030" s="37">
        <v>8.9999999999999993E-3</v>
      </c>
      <c r="F5030" s="31">
        <v>18.1355</v>
      </c>
      <c r="G5030" s="54">
        <f t="shared" si="88"/>
        <v>0.16321949999999999</v>
      </c>
      <c r="H5030" s="39">
        <f>SUM(G5030:G5034)</f>
        <v>22.370158500000002</v>
      </c>
      <c r="I5030" s="40"/>
      <c r="J5030" s="156">
        <v>2</v>
      </c>
    </row>
    <row r="5031" spans="1:10" ht="25.5" x14ac:dyDescent="0.25">
      <c r="A5031" s="227"/>
      <c r="B5031" s="225"/>
      <c r="C5031" s="36" t="s">
        <v>3772</v>
      </c>
      <c r="D5031" s="36" t="s">
        <v>299</v>
      </c>
      <c r="E5031" s="37">
        <v>1</v>
      </c>
      <c r="F5031" s="31">
        <v>15.24</v>
      </c>
      <c r="G5031" s="54">
        <f t="shared" si="88"/>
        <v>15.24</v>
      </c>
      <c r="H5031" s="73"/>
      <c r="I5031" s="74"/>
      <c r="J5031" s="156">
        <v>2</v>
      </c>
    </row>
    <row r="5032" spans="1:10" ht="25.5" x14ac:dyDescent="0.25">
      <c r="A5032" s="227"/>
      <c r="B5032" s="225"/>
      <c r="C5032" s="36" t="s">
        <v>1012</v>
      </c>
      <c r="D5032" s="47" t="s">
        <v>759</v>
      </c>
      <c r="E5032" s="37">
        <v>0.114</v>
      </c>
      <c r="F5032" s="31">
        <v>16.891000000000002</v>
      </c>
      <c r="G5032" s="54">
        <f t="shared" si="88"/>
        <v>1.9255740000000003</v>
      </c>
      <c r="H5032" s="73"/>
      <c r="I5032" s="74"/>
      <c r="J5032" s="156">
        <v>2</v>
      </c>
    </row>
    <row r="5033" spans="1:10" ht="25.5" x14ac:dyDescent="0.25">
      <c r="A5033" s="227"/>
      <c r="B5033" s="225"/>
      <c r="C5033" s="36" t="s">
        <v>1013</v>
      </c>
      <c r="D5033" s="36" t="s">
        <v>759</v>
      </c>
      <c r="E5033" s="37">
        <v>0.114</v>
      </c>
      <c r="F5033" s="31">
        <v>21.622</v>
      </c>
      <c r="G5033" s="54">
        <f t="shared" ref="G5033:G5064" si="89">IF(ISNUMBER(F5033),E5033*F5033,"")</f>
        <v>2.4649079999999999</v>
      </c>
      <c r="H5033" s="73"/>
      <c r="I5033" s="74"/>
      <c r="J5033" s="156">
        <v>2</v>
      </c>
    </row>
    <row r="5034" spans="1:10" x14ac:dyDescent="0.25">
      <c r="A5034" s="227"/>
      <c r="B5034" s="225"/>
      <c r="C5034" s="36" t="s">
        <v>3437</v>
      </c>
      <c r="D5034" s="36" t="s">
        <v>759</v>
      </c>
      <c r="E5034" s="37">
        <v>0.114</v>
      </c>
      <c r="F5034" s="54">
        <v>22.600499999999997</v>
      </c>
      <c r="G5034" s="54">
        <f t="shared" si="89"/>
        <v>2.5764569999999996</v>
      </c>
      <c r="H5034" s="73"/>
      <c r="I5034" s="74"/>
      <c r="J5034" s="156">
        <v>2</v>
      </c>
    </row>
    <row r="5035" spans="1:10" ht="15.75" thickBot="1" x14ac:dyDescent="0.3">
      <c r="A5035" s="227"/>
      <c r="B5035" s="225"/>
      <c r="C5035" s="36"/>
      <c r="D5035" s="47"/>
      <c r="E5035" s="37"/>
      <c r="F5035" s="54" t="s">
        <v>572</v>
      </c>
      <c r="G5035" s="54" t="str">
        <f t="shared" si="89"/>
        <v/>
      </c>
      <c r="H5035" s="73"/>
      <c r="I5035" s="74"/>
      <c r="J5035" s="156">
        <v>2</v>
      </c>
    </row>
    <row r="5036" spans="1:10" ht="15.75" thickBot="1" x14ac:dyDescent="0.3">
      <c r="A5036" s="221" t="s">
        <v>3722</v>
      </c>
      <c r="B5036" s="224" t="str">
        <f>INDEX(Orçamentária!A:B,MATCH(Composições!A5036,Orçamentária!A:A,0),2)</f>
        <v>Redução concêntrica em aço carbono para solda de topo DN 200 (8" NPS) × DN 125 (5" NPS)</v>
      </c>
      <c r="C5036" s="41"/>
      <c r="D5036" s="26" t="str">
        <f>TRIM(INDEX(Orçamentária!C:C,MATCH(Composições!A5036,Orçamentária!A:A,0),1))</f>
        <v>un</v>
      </c>
      <c r="E5036" s="27"/>
      <c r="F5036" s="49" t="s">
        <v>572</v>
      </c>
      <c r="G5036" s="28" t="str">
        <f t="shared" si="89"/>
        <v/>
      </c>
      <c r="H5036" s="29"/>
      <c r="I5036" s="30"/>
      <c r="J5036" s="156">
        <v>2</v>
      </c>
    </row>
    <row r="5037" spans="1:10" x14ac:dyDescent="0.25">
      <c r="A5037" s="227"/>
      <c r="B5037" s="225"/>
      <c r="C5037" s="32"/>
      <c r="D5037" s="32"/>
      <c r="E5037" s="33"/>
      <c r="F5037" s="54" t="s">
        <v>572</v>
      </c>
      <c r="G5037" s="54" t="str">
        <f t="shared" si="89"/>
        <v/>
      </c>
      <c r="H5037" s="73"/>
      <c r="I5037" s="74"/>
      <c r="J5037" s="156">
        <v>2</v>
      </c>
    </row>
    <row r="5038" spans="1:10" x14ac:dyDescent="0.25">
      <c r="A5038" s="227"/>
      <c r="B5038" s="225"/>
      <c r="C5038" s="36" t="s">
        <v>1254</v>
      </c>
      <c r="D5038" s="47" t="s">
        <v>957</v>
      </c>
      <c r="E5038" s="37">
        <f>ROUND(0.089*1.3,4)</f>
        <v>0.1157</v>
      </c>
      <c r="F5038" s="31">
        <v>18.1355</v>
      </c>
      <c r="G5038" s="54">
        <f t="shared" si="89"/>
        <v>2.09827735</v>
      </c>
      <c r="H5038" s="39">
        <f>SUM(G5038:G5042)</f>
        <v>328.55575834999996</v>
      </c>
      <c r="I5038" s="40"/>
      <c r="J5038" s="156">
        <v>2</v>
      </c>
    </row>
    <row r="5039" spans="1:10" ht="25.5" x14ac:dyDescent="0.25">
      <c r="A5039" s="227"/>
      <c r="B5039" s="225"/>
      <c r="C5039" s="36" t="s">
        <v>3773</v>
      </c>
      <c r="D5039" s="36" t="s">
        <v>299</v>
      </c>
      <c r="E5039" s="37">
        <v>1</v>
      </c>
      <c r="F5039" s="31">
        <v>277.2</v>
      </c>
      <c r="G5039" s="54">
        <f t="shared" si="89"/>
        <v>277.2</v>
      </c>
      <c r="H5039" s="73"/>
      <c r="I5039" s="74"/>
      <c r="J5039" s="156">
        <v>2</v>
      </c>
    </row>
    <row r="5040" spans="1:10" ht="25.5" x14ac:dyDescent="0.25">
      <c r="A5040" s="227"/>
      <c r="B5040" s="225"/>
      <c r="C5040" s="36" t="s">
        <v>1012</v>
      </c>
      <c r="D5040" s="47" t="s">
        <v>759</v>
      </c>
      <c r="E5040" s="37">
        <f>ROUND(0.62*1.3,4)</f>
        <v>0.80600000000000005</v>
      </c>
      <c r="F5040" s="31">
        <v>16.891000000000002</v>
      </c>
      <c r="G5040" s="54">
        <f t="shared" si="89"/>
        <v>13.614146000000002</v>
      </c>
      <c r="H5040" s="73"/>
      <c r="I5040" s="74"/>
      <c r="J5040" s="156">
        <v>2</v>
      </c>
    </row>
    <row r="5041" spans="1:10" ht="25.5" x14ac:dyDescent="0.25">
      <c r="A5041" s="227"/>
      <c r="B5041" s="225"/>
      <c r="C5041" s="36" t="s">
        <v>1013</v>
      </c>
      <c r="D5041" s="36" t="s">
        <v>759</v>
      </c>
      <c r="E5041" s="37">
        <f t="shared" ref="E5041:E5042" si="90">ROUND(0.62*1.3,4)</f>
        <v>0.80600000000000005</v>
      </c>
      <c r="F5041" s="31">
        <v>21.622</v>
      </c>
      <c r="G5041" s="54">
        <f t="shared" si="89"/>
        <v>17.427332</v>
      </c>
      <c r="H5041" s="73"/>
      <c r="I5041" s="74"/>
      <c r="J5041" s="156">
        <v>2</v>
      </c>
    </row>
    <row r="5042" spans="1:10" x14ac:dyDescent="0.25">
      <c r="A5042" s="227"/>
      <c r="B5042" s="225"/>
      <c r="C5042" s="36" t="s">
        <v>3437</v>
      </c>
      <c r="D5042" s="36" t="s">
        <v>759</v>
      </c>
      <c r="E5042" s="37">
        <f t="shared" si="90"/>
        <v>0.80600000000000005</v>
      </c>
      <c r="F5042" s="54">
        <v>22.600499999999997</v>
      </c>
      <c r="G5042" s="54">
        <f t="shared" si="89"/>
        <v>18.216002999999997</v>
      </c>
      <c r="H5042" s="73"/>
      <c r="I5042" s="74"/>
      <c r="J5042" s="156">
        <v>2</v>
      </c>
    </row>
    <row r="5043" spans="1:10" ht="15.75" thickBot="1" x14ac:dyDescent="0.3">
      <c r="A5043" s="227"/>
      <c r="B5043" s="225"/>
      <c r="C5043" s="36"/>
      <c r="D5043" s="47"/>
      <c r="E5043" s="37"/>
      <c r="F5043" s="54" t="s">
        <v>572</v>
      </c>
      <c r="G5043" s="54" t="str">
        <f t="shared" si="89"/>
        <v/>
      </c>
      <c r="H5043" s="73"/>
      <c r="I5043" s="74"/>
      <c r="J5043" s="156">
        <v>2</v>
      </c>
    </row>
    <row r="5044" spans="1:10" ht="15.75" thickBot="1" x14ac:dyDescent="0.3">
      <c r="A5044" s="221" t="s">
        <v>3734</v>
      </c>
      <c r="B5044" s="224" t="str">
        <f>INDEX(Orçamentária!A:B,MATCH(Composições!A5044,Orçamentária!A:A,0),2)</f>
        <v>Tê em aço carbono para solda de topo DN 200 (8" NPS)</v>
      </c>
      <c r="C5044" s="41"/>
      <c r="D5044" s="26" t="str">
        <f>TRIM(INDEX(Orçamentária!C:C,MATCH(Composições!A5044,Orçamentária!A:A,0),1))</f>
        <v>un</v>
      </c>
      <c r="E5044" s="27"/>
      <c r="F5044" s="49" t="s">
        <v>572</v>
      </c>
      <c r="G5044" s="28" t="str">
        <f t="shared" si="89"/>
        <v/>
      </c>
      <c r="H5044" s="29"/>
      <c r="I5044" s="30"/>
      <c r="J5044" s="156">
        <v>2</v>
      </c>
    </row>
    <row r="5045" spans="1:10" x14ac:dyDescent="0.25">
      <c r="A5045" s="227"/>
      <c r="B5045" s="225"/>
      <c r="C5045" s="32"/>
      <c r="D5045" s="32"/>
      <c r="E5045" s="33"/>
      <c r="F5045" s="54" t="s">
        <v>572</v>
      </c>
      <c r="G5045" s="54" t="str">
        <f t="shared" si="89"/>
        <v/>
      </c>
      <c r="H5045" s="73"/>
      <c r="I5045" s="74"/>
      <c r="J5045" s="156">
        <v>2</v>
      </c>
    </row>
    <row r="5046" spans="1:10" x14ac:dyDescent="0.25">
      <c r="A5046" s="227"/>
      <c r="B5046" s="225"/>
      <c r="C5046" s="36" t="s">
        <v>1254</v>
      </c>
      <c r="D5046" s="47" t="s">
        <v>957</v>
      </c>
      <c r="E5046" s="37">
        <f>ROUND(0.133*1.3,4)</f>
        <v>0.1729</v>
      </c>
      <c r="F5046" s="31">
        <v>18.1355</v>
      </c>
      <c r="G5046" s="54">
        <f t="shared" si="89"/>
        <v>3.1356279499999999</v>
      </c>
      <c r="H5046" s="39">
        <f>SUM(G5046:G5050)</f>
        <v>674.01417104999996</v>
      </c>
      <c r="I5046" s="40"/>
      <c r="J5046" s="156">
        <v>2</v>
      </c>
    </row>
    <row r="5047" spans="1:10" x14ac:dyDescent="0.25">
      <c r="A5047" s="227"/>
      <c r="B5047" s="225"/>
      <c r="C5047" s="36" t="s">
        <v>3774</v>
      </c>
      <c r="D5047" s="36" t="s">
        <v>299</v>
      </c>
      <c r="E5047" s="37">
        <v>1</v>
      </c>
      <c r="F5047" s="31">
        <v>594.45000000000005</v>
      </c>
      <c r="G5047" s="54">
        <f t="shared" si="89"/>
        <v>594.45000000000005</v>
      </c>
      <c r="H5047" s="73"/>
      <c r="I5047" s="74"/>
      <c r="J5047" s="156">
        <v>2</v>
      </c>
    </row>
    <row r="5048" spans="1:10" ht="25.5" x14ac:dyDescent="0.25">
      <c r="A5048" s="227"/>
      <c r="B5048" s="225"/>
      <c r="C5048" s="36" t="s">
        <v>1012</v>
      </c>
      <c r="D5048" s="47" t="s">
        <v>759</v>
      </c>
      <c r="E5048" s="37">
        <f>ROUND(0.962*1.3,4)</f>
        <v>1.2505999999999999</v>
      </c>
      <c r="F5048" s="31">
        <v>16.891000000000002</v>
      </c>
      <c r="G5048" s="54">
        <f t="shared" si="89"/>
        <v>21.1238846</v>
      </c>
      <c r="H5048" s="73"/>
      <c r="I5048" s="74"/>
      <c r="J5048" s="156">
        <v>2</v>
      </c>
    </row>
    <row r="5049" spans="1:10" ht="25.5" x14ac:dyDescent="0.25">
      <c r="A5049" s="227"/>
      <c r="B5049" s="225"/>
      <c r="C5049" s="36" t="s">
        <v>1013</v>
      </c>
      <c r="D5049" s="36" t="s">
        <v>759</v>
      </c>
      <c r="E5049" s="37">
        <f t="shared" ref="E5049:E5050" si="91">ROUND(0.962*1.3,4)</f>
        <v>1.2505999999999999</v>
      </c>
      <c r="F5049" s="31">
        <v>21.622</v>
      </c>
      <c r="G5049" s="54">
        <f t="shared" si="89"/>
        <v>27.040473199999997</v>
      </c>
      <c r="H5049" s="73"/>
      <c r="I5049" s="74"/>
      <c r="J5049" s="156">
        <v>2</v>
      </c>
    </row>
    <row r="5050" spans="1:10" x14ac:dyDescent="0.25">
      <c r="A5050" s="227"/>
      <c r="B5050" s="225"/>
      <c r="C5050" s="36" t="s">
        <v>3437</v>
      </c>
      <c r="D5050" s="36" t="s">
        <v>759</v>
      </c>
      <c r="E5050" s="37">
        <f t="shared" si="91"/>
        <v>1.2505999999999999</v>
      </c>
      <c r="F5050" s="54">
        <v>22.600499999999997</v>
      </c>
      <c r="G5050" s="54">
        <f t="shared" si="89"/>
        <v>28.264185299999994</v>
      </c>
      <c r="H5050" s="73"/>
      <c r="I5050" s="74"/>
      <c r="J5050" s="156">
        <v>2</v>
      </c>
    </row>
    <row r="5051" spans="1:10" ht="15.75" thickBot="1" x14ac:dyDescent="0.3">
      <c r="A5051" s="227"/>
      <c r="B5051" s="225"/>
      <c r="C5051" s="36"/>
      <c r="D5051" s="47"/>
      <c r="E5051" s="37"/>
      <c r="F5051" s="54" t="s">
        <v>572</v>
      </c>
      <c r="G5051" s="54" t="str">
        <f t="shared" si="89"/>
        <v/>
      </c>
      <c r="H5051" s="73"/>
      <c r="I5051" s="74"/>
      <c r="J5051" s="156">
        <v>2</v>
      </c>
    </row>
    <row r="5052" spans="1:10" ht="15.75" thickBot="1" x14ac:dyDescent="0.3">
      <c r="A5052" s="221" t="s">
        <v>3736</v>
      </c>
      <c r="B5052" s="224" t="str">
        <f>INDEX(Orçamentária!A:B,MATCH(Composições!A5052,Orçamentária!A:A,0),2)</f>
        <v>Tubo de aço-carbono preto DN 125 (5" NPS)</v>
      </c>
      <c r="C5052" s="41"/>
      <c r="D5052" s="26" t="str">
        <f>TRIM(INDEX(Orçamentária!C:C,MATCH(Composições!A5052,Orçamentária!A:A,0),1))</f>
        <v>m</v>
      </c>
      <c r="E5052" s="27"/>
      <c r="F5052" s="49" t="s">
        <v>572</v>
      </c>
      <c r="G5052" s="28" t="str">
        <f t="shared" si="89"/>
        <v/>
      </c>
      <c r="H5052" s="29"/>
      <c r="I5052" s="30"/>
      <c r="J5052" s="156">
        <v>204</v>
      </c>
    </row>
    <row r="5053" spans="1:10" x14ac:dyDescent="0.25">
      <c r="A5053" s="227"/>
      <c r="B5053" s="225"/>
      <c r="C5053" s="32"/>
      <c r="D5053" s="32"/>
      <c r="E5053" s="33"/>
      <c r="F5053" s="54" t="s">
        <v>572</v>
      </c>
      <c r="G5053" s="54" t="str">
        <f t="shared" si="89"/>
        <v/>
      </c>
      <c r="H5053" s="73"/>
      <c r="I5053" s="74"/>
      <c r="J5053" s="156">
        <v>204</v>
      </c>
    </row>
    <row r="5054" spans="1:10" ht="38.25" x14ac:dyDescent="0.25">
      <c r="A5054" s="227"/>
      <c r="B5054" s="225"/>
      <c r="C5054" s="36" t="s">
        <v>3417</v>
      </c>
      <c r="D5054" s="47" t="s">
        <v>1001</v>
      </c>
      <c r="E5054" s="37">
        <v>2.1100000000000001E-2</v>
      </c>
      <c r="F5054" s="31">
        <v>128.37349999999998</v>
      </c>
      <c r="G5054" s="54">
        <f t="shared" si="89"/>
        <v>2.7086808499999995</v>
      </c>
      <c r="H5054" s="39">
        <f>SUM(G5054:G5063)</f>
        <v>424.61541846054399</v>
      </c>
      <c r="I5054" s="40"/>
      <c r="J5054" s="156">
        <v>204</v>
      </c>
    </row>
    <row r="5055" spans="1:10" ht="38.25" x14ac:dyDescent="0.25">
      <c r="A5055" s="227"/>
      <c r="B5055" s="225"/>
      <c r="C5055" s="36" t="s">
        <v>3422</v>
      </c>
      <c r="D5055" s="36" t="s">
        <v>1003</v>
      </c>
      <c r="E5055" s="37">
        <v>4.0300000000000002E-2</v>
      </c>
      <c r="F5055" s="31">
        <v>51.337999999999994</v>
      </c>
      <c r="G5055" s="54">
        <f t="shared" si="89"/>
        <v>2.0689213999999998</v>
      </c>
      <c r="H5055" s="73"/>
      <c r="I5055" s="74"/>
      <c r="J5055" s="156">
        <v>204</v>
      </c>
    </row>
    <row r="5056" spans="1:10" x14ac:dyDescent="0.25">
      <c r="A5056" s="227"/>
      <c r="B5056" s="225"/>
      <c r="C5056" s="36" t="s">
        <v>137</v>
      </c>
      <c r="D5056" s="47" t="s">
        <v>957</v>
      </c>
      <c r="E5056" s="37">
        <f>ROUND(0.1875*0.6,4)</f>
        <v>0.1125</v>
      </c>
      <c r="F5056" s="31">
        <v>18.885999999999999</v>
      </c>
      <c r="G5056" s="54">
        <f t="shared" si="89"/>
        <v>2.1246749999999999</v>
      </c>
      <c r="H5056" s="73"/>
      <c r="I5056" s="74"/>
      <c r="J5056" s="156">
        <v>204</v>
      </c>
    </row>
    <row r="5057" spans="1:10" x14ac:dyDescent="0.25">
      <c r="A5057" s="227"/>
      <c r="B5057" s="225"/>
      <c r="C5057" s="36" t="s">
        <v>3434</v>
      </c>
      <c r="D5057" s="36" t="s">
        <v>759</v>
      </c>
      <c r="E5057" s="37">
        <v>6.5600000000000006E-2</v>
      </c>
      <c r="F5057" s="31">
        <v>17.251999999999999</v>
      </c>
      <c r="G5057" s="54">
        <f t="shared" si="89"/>
        <v>1.1317311999999999</v>
      </c>
      <c r="H5057" s="73"/>
      <c r="I5057" s="74"/>
      <c r="J5057" s="156">
        <v>204</v>
      </c>
    </row>
    <row r="5058" spans="1:10" x14ac:dyDescent="0.25">
      <c r="A5058" s="227"/>
      <c r="B5058" s="225"/>
      <c r="C5058" s="36" t="s">
        <v>760</v>
      </c>
      <c r="D5058" s="36" t="s">
        <v>759</v>
      </c>
      <c r="E5058" s="37">
        <v>6.5600000000000006E-2</v>
      </c>
      <c r="F5058" s="54">
        <v>16.311500000000002</v>
      </c>
      <c r="G5058" s="54">
        <f t="shared" si="89"/>
        <v>1.0700344000000002</v>
      </c>
      <c r="H5058" s="73"/>
      <c r="I5058" s="74"/>
      <c r="J5058" s="156">
        <v>204</v>
      </c>
    </row>
    <row r="5059" spans="1:10" x14ac:dyDescent="0.25">
      <c r="A5059" s="227"/>
      <c r="B5059" s="225"/>
      <c r="C5059" s="36" t="s">
        <v>3437</v>
      </c>
      <c r="D5059" s="36" t="s">
        <v>759</v>
      </c>
      <c r="E5059" s="37">
        <f>ROUND(0.4792*0.6,4)</f>
        <v>0.28749999999999998</v>
      </c>
      <c r="F5059" s="54">
        <v>22.600499999999997</v>
      </c>
      <c r="G5059" s="54">
        <f t="shared" si="89"/>
        <v>6.4976437499999982</v>
      </c>
      <c r="H5059" s="73"/>
      <c r="I5059" s="74"/>
      <c r="J5059" s="156">
        <v>204</v>
      </c>
    </row>
    <row r="5060" spans="1:10" ht="25.5" x14ac:dyDescent="0.25">
      <c r="A5060" s="227"/>
      <c r="B5060" s="225"/>
      <c r="C5060" s="172" t="s">
        <v>3614</v>
      </c>
      <c r="D5060" s="172" t="s">
        <v>527</v>
      </c>
      <c r="E5060" s="173">
        <v>1</v>
      </c>
      <c r="F5060" s="74">
        <v>393.37599999999998</v>
      </c>
      <c r="G5060" s="54">
        <f t="shared" si="89"/>
        <v>393.37599999999998</v>
      </c>
      <c r="H5060" s="73"/>
      <c r="I5060" s="74"/>
      <c r="J5060" s="156">
        <v>204</v>
      </c>
    </row>
    <row r="5061" spans="1:10" ht="38.25" x14ac:dyDescent="0.25">
      <c r="A5061" s="227"/>
      <c r="B5061" s="225"/>
      <c r="C5061" s="172" t="s">
        <v>3620</v>
      </c>
      <c r="D5061" s="172" t="s">
        <v>1374</v>
      </c>
      <c r="E5061" s="173">
        <v>2.1760000000000002E-2</v>
      </c>
      <c r="F5061" s="54">
        <v>23.682860649999999</v>
      </c>
      <c r="G5061" s="54">
        <f t="shared" si="89"/>
        <v>0.51533904774399997</v>
      </c>
      <c r="H5061" s="73"/>
      <c r="I5061" s="74"/>
      <c r="J5061" s="156">
        <v>204</v>
      </c>
    </row>
    <row r="5062" spans="1:10" ht="38.25" x14ac:dyDescent="0.25">
      <c r="A5062" s="227"/>
      <c r="B5062" s="225"/>
      <c r="C5062" s="172" t="s">
        <v>3617</v>
      </c>
      <c r="D5062" s="172" t="s">
        <v>1537</v>
      </c>
      <c r="E5062" s="173">
        <f>E5061*30</f>
        <v>0.65280000000000005</v>
      </c>
      <c r="F5062" s="54">
        <v>1.6236735</v>
      </c>
      <c r="G5062" s="54">
        <f t="shared" si="89"/>
        <v>1.0599340608000001</v>
      </c>
      <c r="H5062" s="73"/>
      <c r="I5062" s="74"/>
      <c r="J5062" s="156">
        <v>204</v>
      </c>
    </row>
    <row r="5063" spans="1:10" ht="51" x14ac:dyDescent="0.25">
      <c r="A5063" s="227"/>
      <c r="B5063" s="225"/>
      <c r="C5063" s="172" t="s">
        <v>3618</v>
      </c>
      <c r="D5063" s="172" t="s">
        <v>1537</v>
      </c>
      <c r="E5063" s="173">
        <f>E5061*1000</f>
        <v>21.76</v>
      </c>
      <c r="F5063" s="54">
        <v>0.64625270000000001</v>
      </c>
      <c r="G5063" s="54">
        <f t="shared" si="89"/>
        <v>14.062458752000001</v>
      </c>
      <c r="H5063" s="73"/>
      <c r="I5063" s="74"/>
      <c r="J5063" s="156">
        <v>204</v>
      </c>
    </row>
    <row r="5064" spans="1:10" x14ac:dyDescent="0.25">
      <c r="A5064" s="227"/>
      <c r="B5064" s="225"/>
      <c r="C5064" s="172"/>
      <c r="D5064" s="172"/>
      <c r="E5064" s="173"/>
      <c r="F5064" s="54"/>
      <c r="G5064" s="54"/>
      <c r="H5064" s="73"/>
      <c r="I5064" s="74"/>
      <c r="J5064" s="156"/>
    </row>
    <row r="5065" spans="1:10" x14ac:dyDescent="0.25">
      <c r="A5065" s="227"/>
      <c r="B5065" s="225"/>
      <c r="C5065" s="174" t="s">
        <v>3835</v>
      </c>
      <c r="D5065" s="172"/>
      <c r="E5065" s="173"/>
      <c r="F5065" s="54"/>
      <c r="G5065" s="54"/>
      <c r="H5065" s="73"/>
      <c r="I5065" s="74"/>
      <c r="J5065" s="156"/>
    </row>
    <row r="5066" spans="1:10" ht="15.75" thickBot="1" x14ac:dyDescent="0.3">
      <c r="A5066" s="227"/>
      <c r="B5066" s="225"/>
      <c r="C5066" s="172"/>
      <c r="D5066" s="175"/>
      <c r="E5066" s="173"/>
      <c r="F5066" s="54" t="s">
        <v>572</v>
      </c>
      <c r="G5066" s="54" t="str">
        <f t="shared" ref="G5066:G5078" si="92">IF(ISNUMBER(F5066),E5066*F5066,"")</f>
        <v/>
      </c>
      <c r="H5066" s="73"/>
      <c r="I5066" s="74"/>
      <c r="J5066" s="156">
        <v>204</v>
      </c>
    </row>
    <row r="5067" spans="1:10" ht="15.75" thickBot="1" x14ac:dyDescent="0.3">
      <c r="A5067" s="221" t="s">
        <v>3738</v>
      </c>
      <c r="B5067" s="224" t="str">
        <f>INDEX(Orçamentária!A:B,MATCH(Composições!A5067,Orçamentária!A:A,0),2)</f>
        <v>Tubo de aço-carbono preto DN 200 (8" NPS)</v>
      </c>
      <c r="C5067" s="176"/>
      <c r="D5067" s="177" t="str">
        <f>TRIM(INDEX(Orçamentária!C:C,MATCH(Composições!A5067,Orçamentária!A:A,0),1))</f>
        <v>m</v>
      </c>
      <c r="E5067" s="178"/>
      <c r="F5067" s="49" t="s">
        <v>572</v>
      </c>
      <c r="G5067" s="28" t="str">
        <f t="shared" si="92"/>
        <v/>
      </c>
      <c r="H5067" s="29"/>
      <c r="I5067" s="30"/>
      <c r="J5067" s="156">
        <v>6</v>
      </c>
    </row>
    <row r="5068" spans="1:10" x14ac:dyDescent="0.25">
      <c r="A5068" s="227"/>
      <c r="B5068" s="225"/>
      <c r="C5068" s="179"/>
      <c r="D5068" s="179"/>
      <c r="E5068" s="180"/>
      <c r="F5068" s="54" t="s">
        <v>572</v>
      </c>
      <c r="G5068" s="54" t="str">
        <f t="shared" si="92"/>
        <v/>
      </c>
      <c r="H5068" s="73"/>
      <c r="I5068" s="74"/>
      <c r="J5068" s="156">
        <v>6</v>
      </c>
    </row>
    <row r="5069" spans="1:10" ht="38.25" x14ac:dyDescent="0.25">
      <c r="A5069" s="227"/>
      <c r="B5069" s="225"/>
      <c r="C5069" s="172" t="s">
        <v>3417</v>
      </c>
      <c r="D5069" s="175" t="s">
        <v>1001</v>
      </c>
      <c r="E5069" s="173">
        <v>2.1100000000000001E-2</v>
      </c>
      <c r="F5069" s="31">
        <v>128.37349999999998</v>
      </c>
      <c r="G5069" s="54">
        <f t="shared" si="92"/>
        <v>2.7086808499999995</v>
      </c>
      <c r="H5069" s="39">
        <f>SUM(G5069:G5078)</f>
        <v>715.53160536466237</v>
      </c>
      <c r="I5069" s="40"/>
      <c r="J5069" s="156">
        <v>6</v>
      </c>
    </row>
    <row r="5070" spans="1:10" ht="38.25" x14ac:dyDescent="0.25">
      <c r="A5070" s="227"/>
      <c r="B5070" s="225"/>
      <c r="C5070" s="172" t="s">
        <v>3422</v>
      </c>
      <c r="D5070" s="172" t="s">
        <v>1003</v>
      </c>
      <c r="E5070" s="173">
        <v>4.0300000000000002E-2</v>
      </c>
      <c r="F5070" s="31">
        <v>51.337999999999994</v>
      </c>
      <c r="G5070" s="54">
        <f t="shared" si="92"/>
        <v>2.0689213999999998</v>
      </c>
      <c r="H5070" s="73"/>
      <c r="I5070" s="74"/>
      <c r="J5070" s="156">
        <v>6</v>
      </c>
    </row>
    <row r="5071" spans="1:10" x14ac:dyDescent="0.25">
      <c r="A5071" s="227"/>
      <c r="B5071" s="225"/>
      <c r="C5071" s="172" t="s">
        <v>137</v>
      </c>
      <c r="D5071" s="175" t="s">
        <v>957</v>
      </c>
      <c r="E5071" s="173">
        <f>ROUND(0.1875*0.8,4)</f>
        <v>0.15</v>
      </c>
      <c r="F5071" s="31">
        <v>18.885999999999999</v>
      </c>
      <c r="G5071" s="54">
        <f t="shared" si="92"/>
        <v>2.8329</v>
      </c>
      <c r="H5071" s="73"/>
      <c r="I5071" s="74"/>
      <c r="J5071" s="156">
        <v>6</v>
      </c>
    </row>
    <row r="5072" spans="1:10" x14ac:dyDescent="0.25">
      <c r="A5072" s="227"/>
      <c r="B5072" s="225"/>
      <c r="C5072" s="172" t="s">
        <v>3434</v>
      </c>
      <c r="D5072" s="172" t="s">
        <v>759</v>
      </c>
      <c r="E5072" s="173">
        <v>6.5600000000000006E-2</v>
      </c>
      <c r="F5072" s="31">
        <v>17.251999999999999</v>
      </c>
      <c r="G5072" s="54">
        <f t="shared" si="92"/>
        <v>1.1317311999999999</v>
      </c>
      <c r="H5072" s="73"/>
      <c r="I5072" s="74"/>
      <c r="J5072" s="156">
        <v>6</v>
      </c>
    </row>
    <row r="5073" spans="1:10" x14ac:dyDescent="0.25">
      <c r="A5073" s="227"/>
      <c r="B5073" s="225"/>
      <c r="C5073" s="172" t="s">
        <v>760</v>
      </c>
      <c r="D5073" s="172" t="s">
        <v>759</v>
      </c>
      <c r="E5073" s="173">
        <v>6.5600000000000006E-2</v>
      </c>
      <c r="F5073" s="54">
        <v>16.311500000000002</v>
      </c>
      <c r="G5073" s="54">
        <f t="shared" si="92"/>
        <v>1.0700344000000002</v>
      </c>
      <c r="H5073" s="73"/>
      <c r="I5073" s="74"/>
      <c r="J5073" s="156">
        <v>6</v>
      </c>
    </row>
    <row r="5074" spans="1:10" x14ac:dyDescent="0.25">
      <c r="A5074" s="227"/>
      <c r="B5074" s="225"/>
      <c r="C5074" s="172" t="s">
        <v>3437</v>
      </c>
      <c r="D5074" s="172" t="s">
        <v>759</v>
      </c>
      <c r="E5074" s="173">
        <f>ROUND(0.4792*0.8,4)</f>
        <v>0.38340000000000002</v>
      </c>
      <c r="F5074" s="54">
        <v>22.600499999999997</v>
      </c>
      <c r="G5074" s="54">
        <f t="shared" si="92"/>
        <v>8.6650316999999983</v>
      </c>
      <c r="H5074" s="73"/>
      <c r="I5074" s="74"/>
      <c r="J5074" s="156">
        <v>6</v>
      </c>
    </row>
    <row r="5075" spans="1:10" ht="25.5" x14ac:dyDescent="0.25">
      <c r="A5075" s="227"/>
      <c r="B5075" s="225"/>
      <c r="C5075" s="172" t="s">
        <v>3482</v>
      </c>
      <c r="D5075" s="172" t="s">
        <v>527</v>
      </c>
      <c r="E5075" s="173">
        <v>1</v>
      </c>
      <c r="F5075" s="74">
        <v>666.71949999999993</v>
      </c>
      <c r="G5075" s="54">
        <f t="shared" si="92"/>
        <v>666.71949999999993</v>
      </c>
      <c r="H5075" s="73"/>
      <c r="I5075" s="74"/>
      <c r="J5075" s="156">
        <v>6</v>
      </c>
    </row>
    <row r="5076" spans="1:10" ht="38.25" x14ac:dyDescent="0.25">
      <c r="A5076" s="227"/>
      <c r="B5076" s="225"/>
      <c r="C5076" s="36" t="s">
        <v>3621</v>
      </c>
      <c r="D5076" s="36" t="s">
        <v>1374</v>
      </c>
      <c r="E5076" s="37">
        <v>4.2549999999999998E-2</v>
      </c>
      <c r="F5076" s="54">
        <v>17.958500749999999</v>
      </c>
      <c r="G5076" s="54">
        <f t="shared" si="92"/>
        <v>0.76413420691249989</v>
      </c>
      <c r="H5076" s="73"/>
      <c r="I5076" s="74"/>
      <c r="J5076" s="156">
        <v>6</v>
      </c>
    </row>
    <row r="5077" spans="1:10" ht="38.25" x14ac:dyDescent="0.25">
      <c r="A5077" s="227"/>
      <c r="B5077" s="225"/>
      <c r="C5077" s="36" t="s">
        <v>3617</v>
      </c>
      <c r="D5077" s="36" t="s">
        <v>1537</v>
      </c>
      <c r="E5077" s="37">
        <f>E5076*30</f>
        <v>1.2765</v>
      </c>
      <c r="F5077" s="54">
        <v>1.6236735</v>
      </c>
      <c r="G5077" s="54">
        <f t="shared" si="92"/>
        <v>2.0726192227499998</v>
      </c>
      <c r="H5077" s="73"/>
      <c r="I5077" s="74"/>
      <c r="J5077" s="156">
        <v>6</v>
      </c>
    </row>
    <row r="5078" spans="1:10" ht="51" x14ac:dyDescent="0.25">
      <c r="A5078" s="227"/>
      <c r="B5078" s="225"/>
      <c r="C5078" s="36" t="s">
        <v>3618</v>
      </c>
      <c r="D5078" s="36" t="s">
        <v>1537</v>
      </c>
      <c r="E5078" s="37">
        <f>E5076*1000</f>
        <v>42.55</v>
      </c>
      <c r="F5078" s="54">
        <v>0.64625270000000001</v>
      </c>
      <c r="G5078" s="54">
        <f t="shared" si="92"/>
        <v>27.498052384999998</v>
      </c>
      <c r="H5078" s="73"/>
      <c r="I5078" s="74"/>
      <c r="J5078" s="156">
        <v>6</v>
      </c>
    </row>
    <row r="5079" spans="1:10" x14ac:dyDescent="0.25">
      <c r="A5079" s="227"/>
      <c r="B5079" s="225"/>
      <c r="C5079" s="36"/>
      <c r="D5079" s="36"/>
      <c r="E5079" s="37"/>
      <c r="F5079" s="54"/>
      <c r="G5079" s="54"/>
      <c r="H5079" s="73"/>
      <c r="I5079" s="74"/>
      <c r="J5079" s="156"/>
    </row>
    <row r="5080" spans="1:10" x14ac:dyDescent="0.25">
      <c r="A5080" s="227"/>
      <c r="B5080" s="225"/>
      <c r="C5080" s="48" t="s">
        <v>3835</v>
      </c>
      <c r="D5080" s="36"/>
      <c r="E5080" s="37"/>
      <c r="F5080" s="54"/>
      <c r="G5080" s="54"/>
      <c r="H5080" s="73"/>
      <c r="I5080" s="74"/>
      <c r="J5080" s="156"/>
    </row>
    <row r="5081" spans="1:10" ht="15.75" thickBot="1" x14ac:dyDescent="0.3">
      <c r="A5081" s="227"/>
      <c r="B5081" s="225"/>
      <c r="C5081" s="36"/>
      <c r="D5081" s="47"/>
      <c r="E5081" s="37"/>
      <c r="F5081" s="54" t="s">
        <v>572</v>
      </c>
      <c r="G5081" s="54" t="str">
        <f t="shared" ref="G5081:G5112" si="93">IF(ISNUMBER(F5081),E5081*F5081,"")</f>
        <v/>
      </c>
      <c r="H5081" s="73"/>
      <c r="I5081" s="74"/>
      <c r="J5081" s="156">
        <v>6</v>
      </c>
    </row>
    <row r="5082" spans="1:10" ht="15.75" thickBot="1" x14ac:dyDescent="0.3">
      <c r="A5082" s="221" t="s">
        <v>3740</v>
      </c>
      <c r="B5082" s="224" t="str">
        <f>INDEX(Orçamentária!A:B,MATCH(Composições!A5082,Orçamentária!A:A,0),2)</f>
        <v>Válvula de esfera em bronze 1/2”</v>
      </c>
      <c r="C5082" s="41"/>
      <c r="D5082" s="26" t="str">
        <f>TRIM(INDEX(Orçamentária!C:C,MATCH(Composições!A5082,Orçamentária!A:A,0),1))</f>
        <v>un</v>
      </c>
      <c r="E5082" s="27"/>
      <c r="F5082" s="49" t="s">
        <v>572</v>
      </c>
      <c r="G5082" s="28" t="str">
        <f t="shared" si="93"/>
        <v/>
      </c>
      <c r="H5082" s="29"/>
      <c r="I5082" s="30"/>
      <c r="J5082" s="156">
        <v>2</v>
      </c>
    </row>
    <row r="5083" spans="1:10" x14ac:dyDescent="0.25">
      <c r="A5083" s="227"/>
      <c r="B5083" s="225"/>
      <c r="C5083" s="32"/>
      <c r="D5083" s="32"/>
      <c r="E5083" s="33"/>
      <c r="F5083" s="54" t="s">
        <v>572</v>
      </c>
      <c r="G5083" s="54" t="str">
        <f t="shared" si="93"/>
        <v/>
      </c>
      <c r="H5083" s="73"/>
      <c r="I5083" s="74"/>
      <c r="J5083" s="156">
        <v>2</v>
      </c>
    </row>
    <row r="5084" spans="1:10" x14ac:dyDescent="0.25">
      <c r="A5084" s="227"/>
      <c r="B5084" s="225"/>
      <c r="C5084" s="36" t="s">
        <v>350</v>
      </c>
      <c r="D5084" s="36" t="s">
        <v>299</v>
      </c>
      <c r="E5084" s="37">
        <v>9.4999999999999998E-3</v>
      </c>
      <c r="F5084" s="31">
        <v>13.661</v>
      </c>
      <c r="G5084" s="54">
        <f t="shared" si="93"/>
        <v>0.12977949999999999</v>
      </c>
      <c r="H5084" s="39">
        <f>SUM(G5084:G5087)</f>
        <v>71.46359799999999</v>
      </c>
      <c r="I5084" s="40"/>
      <c r="J5084" s="156">
        <v>2</v>
      </c>
    </row>
    <row r="5085" spans="1:10" x14ac:dyDescent="0.25">
      <c r="A5085" s="227"/>
      <c r="B5085" s="225"/>
      <c r="C5085" s="36" t="s">
        <v>1215</v>
      </c>
      <c r="D5085" s="36" t="s">
        <v>299</v>
      </c>
      <c r="E5085" s="37">
        <v>1</v>
      </c>
      <c r="F5085" s="31">
        <v>41.505499999999998</v>
      </c>
      <c r="G5085" s="54">
        <f t="shared" si="93"/>
        <v>41.505499999999998</v>
      </c>
      <c r="H5085" s="73"/>
      <c r="I5085" s="74"/>
      <c r="J5085" s="156">
        <v>2</v>
      </c>
    </row>
    <row r="5086" spans="1:10" ht="25.5" x14ac:dyDescent="0.25">
      <c r="A5086" s="227"/>
      <c r="B5086" s="225"/>
      <c r="C5086" s="36" t="s">
        <v>1012</v>
      </c>
      <c r="D5086" s="47" t="s">
        <v>759</v>
      </c>
      <c r="E5086" s="37">
        <v>0.77449999999999997</v>
      </c>
      <c r="F5086" s="31">
        <v>16.891000000000002</v>
      </c>
      <c r="G5086" s="54">
        <f t="shared" si="93"/>
        <v>13.082079500000001</v>
      </c>
      <c r="H5086" s="73"/>
      <c r="I5086" s="74"/>
      <c r="J5086" s="156">
        <v>2</v>
      </c>
    </row>
    <row r="5087" spans="1:10" ht="25.5" x14ac:dyDescent="0.25">
      <c r="A5087" s="227"/>
      <c r="B5087" s="225"/>
      <c r="C5087" s="36" t="s">
        <v>1013</v>
      </c>
      <c r="D5087" s="36" t="s">
        <v>759</v>
      </c>
      <c r="E5087" s="37">
        <v>0.77449999999999997</v>
      </c>
      <c r="F5087" s="31">
        <v>21.622</v>
      </c>
      <c r="G5087" s="54">
        <f t="shared" si="93"/>
        <v>16.746238999999999</v>
      </c>
      <c r="H5087" s="73"/>
      <c r="I5087" s="74"/>
      <c r="J5087" s="156">
        <v>2</v>
      </c>
    </row>
    <row r="5088" spans="1:10" ht="15.75" thickBot="1" x14ac:dyDescent="0.3">
      <c r="A5088" s="227"/>
      <c r="B5088" s="225"/>
      <c r="C5088" s="36"/>
      <c r="D5088" s="47"/>
      <c r="E5088" s="37"/>
      <c r="F5088" s="54" t="s">
        <v>572</v>
      </c>
      <c r="G5088" s="54" t="str">
        <f t="shared" si="93"/>
        <v/>
      </c>
      <c r="H5088" s="73"/>
      <c r="I5088" s="74"/>
      <c r="J5088" s="156">
        <v>2</v>
      </c>
    </row>
    <row r="5089" spans="1:10" ht="15.75" thickBot="1" x14ac:dyDescent="0.3">
      <c r="A5089" s="221" t="s">
        <v>3742</v>
      </c>
      <c r="B5089" s="224" t="str">
        <f>INDEX(Orçamentária!A:B,MATCH(Composições!A5089,Orçamentária!A:A,0),2)</f>
        <v>Válvula gaveta com flange DN 125 (5" NPS)</v>
      </c>
      <c r="C5089" s="41"/>
      <c r="D5089" s="26" t="str">
        <f>TRIM(INDEX(Orçamentária!C:C,MATCH(Composições!A5089,Orçamentária!A:A,0),1))</f>
        <v>un</v>
      </c>
      <c r="E5089" s="27"/>
      <c r="F5089" s="49" t="s">
        <v>572</v>
      </c>
      <c r="G5089" s="28" t="str">
        <f t="shared" si="93"/>
        <v/>
      </c>
      <c r="H5089" s="29"/>
      <c r="I5089" s="30"/>
      <c r="J5089" s="156">
        <v>4</v>
      </c>
    </row>
    <row r="5090" spans="1:10" x14ac:dyDescent="0.25">
      <c r="A5090" s="227"/>
      <c r="B5090" s="225"/>
      <c r="C5090" s="32"/>
      <c r="D5090" s="32"/>
      <c r="E5090" s="33"/>
      <c r="F5090" s="54" t="s">
        <v>572</v>
      </c>
      <c r="G5090" s="54" t="str">
        <f t="shared" si="93"/>
        <v/>
      </c>
      <c r="H5090" s="73"/>
      <c r="I5090" s="74"/>
      <c r="J5090" s="156">
        <v>4</v>
      </c>
    </row>
    <row r="5091" spans="1:10" x14ac:dyDescent="0.25">
      <c r="A5091" s="227"/>
      <c r="B5091" s="225"/>
      <c r="C5091" s="36" t="s">
        <v>350</v>
      </c>
      <c r="D5091" s="36" t="s">
        <v>299</v>
      </c>
      <c r="E5091" s="37">
        <v>5.7000000000000002E-2</v>
      </c>
      <c r="F5091" s="31">
        <v>13.661</v>
      </c>
      <c r="G5091" s="54">
        <f t="shared" si="93"/>
        <v>0.77867699999999995</v>
      </c>
      <c r="H5091" s="39">
        <f>SUM(G5091:G5094)</f>
        <v>3219.9591879999998</v>
      </c>
      <c r="I5091" s="40"/>
      <c r="J5091" s="156">
        <v>4</v>
      </c>
    </row>
    <row r="5092" spans="1:10" x14ac:dyDescent="0.25">
      <c r="A5092" s="227"/>
      <c r="B5092" s="225"/>
      <c r="C5092" s="36" t="s">
        <v>3743</v>
      </c>
      <c r="D5092" s="36" t="s">
        <v>299</v>
      </c>
      <c r="E5092" s="37">
        <v>1</v>
      </c>
      <c r="F5092" s="31">
        <v>3186.56</v>
      </c>
      <c r="G5092" s="54">
        <f t="shared" si="93"/>
        <v>3186.56</v>
      </c>
      <c r="H5092" s="73"/>
      <c r="I5092" s="74"/>
      <c r="J5092" s="156">
        <v>4</v>
      </c>
    </row>
    <row r="5093" spans="1:10" ht="25.5" x14ac:dyDescent="0.25">
      <c r="A5093" s="227"/>
      <c r="B5093" s="225"/>
      <c r="C5093" s="36" t="s">
        <v>1012</v>
      </c>
      <c r="D5093" s="47" t="s">
        <v>759</v>
      </c>
      <c r="E5093" s="37">
        <v>0.84699999999999998</v>
      </c>
      <c r="F5093" s="31">
        <v>16.891000000000002</v>
      </c>
      <c r="G5093" s="54">
        <f t="shared" si="93"/>
        <v>14.306677000000001</v>
      </c>
      <c r="H5093" s="73"/>
      <c r="I5093" s="74"/>
      <c r="J5093" s="156">
        <v>4</v>
      </c>
    </row>
    <row r="5094" spans="1:10" ht="25.5" x14ac:dyDescent="0.25">
      <c r="A5094" s="227"/>
      <c r="B5094" s="225"/>
      <c r="C5094" s="36" t="s">
        <v>1013</v>
      </c>
      <c r="D5094" s="36" t="s">
        <v>759</v>
      </c>
      <c r="E5094" s="37">
        <v>0.84699999999999998</v>
      </c>
      <c r="F5094" s="31">
        <v>21.622</v>
      </c>
      <c r="G5094" s="54">
        <f t="shared" si="93"/>
        <v>18.313834</v>
      </c>
      <c r="H5094" s="73"/>
      <c r="I5094" s="74"/>
      <c r="J5094" s="156">
        <v>4</v>
      </c>
    </row>
    <row r="5095" spans="1:10" x14ac:dyDescent="0.25">
      <c r="A5095" s="227"/>
      <c r="B5095" s="225"/>
      <c r="C5095" s="36"/>
      <c r="D5095" s="47"/>
      <c r="E5095" s="37"/>
      <c r="F5095" s="54" t="s">
        <v>572</v>
      </c>
      <c r="G5095" s="54" t="str">
        <f t="shared" si="93"/>
        <v/>
      </c>
      <c r="H5095" s="73"/>
      <c r="I5095" s="74"/>
      <c r="J5095" s="156">
        <v>4</v>
      </c>
    </row>
    <row r="5096" spans="1:10" ht="15.75" hidden="1" thickBot="1" x14ac:dyDescent="0.3">
      <c r="A5096" s="221" t="s">
        <v>3746</v>
      </c>
      <c r="B5096" s="224" t="str">
        <f>INDEX(Orçamentária!A:B,MATCH(Composições!A5096,Orçamentária!A:A,0),2)</f>
        <v>Cabo de fibra óptica monomodo 12 fibras</v>
      </c>
      <c r="C5096" s="41"/>
      <c r="D5096" s="26" t="str">
        <f>TRIM(INDEX(Orçamentária!C:C,MATCH(Composições!A5096,Orçamentária!A:A,0),1))</f>
        <v>m</v>
      </c>
      <c r="E5096" s="27"/>
      <c r="F5096" s="49" t="s">
        <v>572</v>
      </c>
      <c r="G5096" s="28" t="str">
        <f t="shared" si="93"/>
        <v/>
      </c>
      <c r="H5096" s="29"/>
      <c r="I5096" s="30"/>
      <c r="J5096" s="156">
        <v>0</v>
      </c>
    </row>
    <row r="5097" spans="1:10" hidden="1" x14ac:dyDescent="0.25">
      <c r="A5097" s="227"/>
      <c r="B5097" s="225"/>
      <c r="C5097" s="32"/>
      <c r="D5097" s="32"/>
      <c r="E5097" s="33"/>
      <c r="F5097" s="54" t="s">
        <v>572</v>
      </c>
      <c r="G5097" s="54" t="str">
        <f t="shared" si="93"/>
        <v/>
      </c>
      <c r="H5097" s="73"/>
      <c r="I5097" s="74"/>
      <c r="J5097" s="156">
        <v>0</v>
      </c>
    </row>
    <row r="5098" spans="1:10" hidden="1" x14ac:dyDescent="0.25">
      <c r="A5098" s="227"/>
      <c r="B5098" s="225"/>
      <c r="C5098" s="36" t="s">
        <v>3775</v>
      </c>
      <c r="D5098" s="36" t="s">
        <v>94</v>
      </c>
      <c r="E5098" s="37">
        <v>1.05</v>
      </c>
      <c r="F5098" s="31" t="s">
        <v>572</v>
      </c>
      <c r="G5098" s="54" t="str">
        <f t="shared" si="93"/>
        <v/>
      </c>
      <c r="H5098" s="39">
        <f>SUM(G5098:G5100)</f>
        <v>2.8179774000000002</v>
      </c>
      <c r="I5098" s="40"/>
      <c r="J5098" s="156">
        <v>0</v>
      </c>
    </row>
    <row r="5099" spans="1:10" hidden="1" x14ac:dyDescent="0.25">
      <c r="A5099" s="227"/>
      <c r="B5099" s="225"/>
      <c r="C5099" s="36" t="s">
        <v>1232</v>
      </c>
      <c r="D5099" s="47" t="s">
        <v>759</v>
      </c>
      <c r="E5099" s="37">
        <v>7.1099999999999997E-2</v>
      </c>
      <c r="F5099" s="31">
        <v>17.366</v>
      </c>
      <c r="G5099" s="54">
        <f t="shared" si="93"/>
        <v>1.2347226</v>
      </c>
      <c r="H5099" s="73"/>
      <c r="I5099" s="74"/>
      <c r="J5099" s="156">
        <v>0</v>
      </c>
    </row>
    <row r="5100" spans="1:10" hidden="1" x14ac:dyDescent="0.25">
      <c r="A5100" s="227"/>
      <c r="B5100" s="225"/>
      <c r="C5100" s="36" t="s">
        <v>1233</v>
      </c>
      <c r="D5100" s="36" t="s">
        <v>759</v>
      </c>
      <c r="E5100" s="37">
        <v>7.1099999999999997E-2</v>
      </c>
      <c r="F5100" s="31">
        <v>22.268000000000001</v>
      </c>
      <c r="G5100" s="54">
        <f t="shared" si="93"/>
        <v>1.5832548</v>
      </c>
      <c r="H5100" s="73"/>
      <c r="I5100" s="74"/>
      <c r="J5100" s="156">
        <v>0</v>
      </c>
    </row>
    <row r="5101" spans="1:10" hidden="1" x14ac:dyDescent="0.25">
      <c r="A5101" s="227"/>
      <c r="B5101" s="225"/>
      <c r="C5101" s="36"/>
      <c r="D5101" s="47"/>
      <c r="E5101" s="37"/>
      <c r="F5101" s="54" t="s">
        <v>572</v>
      </c>
      <c r="G5101" s="54" t="str">
        <f t="shared" si="93"/>
        <v/>
      </c>
      <c r="H5101" s="73"/>
      <c r="I5101" s="74"/>
      <c r="J5101" s="156">
        <v>0</v>
      </c>
    </row>
    <row r="5102" spans="1:10" ht="15.75" hidden="1" thickBot="1" x14ac:dyDescent="0.3">
      <c r="A5102" s="221" t="s">
        <v>3748</v>
      </c>
      <c r="B5102" s="224" t="str">
        <f>INDEX(Orçamentária!A:B,MATCH(Composições!A5102,Orçamentária!A:A,0),2)</f>
        <v>Cabo de fibra óptica monomodo 144 fibras</v>
      </c>
      <c r="C5102" s="41"/>
      <c r="D5102" s="26" t="str">
        <f>TRIM(INDEX(Orçamentária!C:C,MATCH(Composições!A5102,Orçamentária!A:A,0),1))</f>
        <v>m</v>
      </c>
      <c r="E5102" s="27"/>
      <c r="F5102" s="49" t="s">
        <v>572</v>
      </c>
      <c r="G5102" s="28" t="str">
        <f t="shared" si="93"/>
        <v/>
      </c>
      <c r="H5102" s="29"/>
      <c r="I5102" s="30"/>
      <c r="J5102" s="156">
        <v>0</v>
      </c>
    </row>
    <row r="5103" spans="1:10" hidden="1" x14ac:dyDescent="0.25">
      <c r="A5103" s="227"/>
      <c r="B5103" s="225"/>
      <c r="C5103" s="32"/>
      <c r="D5103" s="32"/>
      <c r="E5103" s="33"/>
      <c r="F5103" s="54" t="s">
        <v>572</v>
      </c>
      <c r="G5103" s="54" t="str">
        <f t="shared" si="93"/>
        <v/>
      </c>
      <c r="H5103" s="73"/>
      <c r="I5103" s="74"/>
      <c r="J5103" s="156">
        <v>0</v>
      </c>
    </row>
    <row r="5104" spans="1:10" hidden="1" x14ac:dyDescent="0.25">
      <c r="A5104" s="227"/>
      <c r="B5104" s="225"/>
      <c r="C5104" s="36" t="s">
        <v>3776</v>
      </c>
      <c r="D5104" s="36" t="s">
        <v>94</v>
      </c>
      <c r="E5104" s="37">
        <v>1.05</v>
      </c>
      <c r="F5104" s="31" t="s">
        <v>572</v>
      </c>
      <c r="G5104" s="54" t="str">
        <f t="shared" si="93"/>
        <v/>
      </c>
      <c r="H5104" s="39">
        <f>SUM(G5104:G5106)</f>
        <v>5.5011992000000003</v>
      </c>
      <c r="I5104" s="40"/>
      <c r="J5104" s="156">
        <v>0</v>
      </c>
    </row>
    <row r="5105" spans="1:10" hidden="1" x14ac:dyDescent="0.25">
      <c r="A5105" s="227"/>
      <c r="B5105" s="225"/>
      <c r="C5105" s="36" t="s">
        <v>1232</v>
      </c>
      <c r="D5105" s="47" t="s">
        <v>759</v>
      </c>
      <c r="E5105" s="37">
        <v>0.13880000000000001</v>
      </c>
      <c r="F5105" s="31">
        <v>17.366</v>
      </c>
      <c r="G5105" s="54">
        <f t="shared" si="93"/>
        <v>2.4104008000000001</v>
      </c>
      <c r="H5105" s="73"/>
      <c r="I5105" s="74"/>
      <c r="J5105" s="156">
        <v>0</v>
      </c>
    </row>
    <row r="5106" spans="1:10" hidden="1" x14ac:dyDescent="0.25">
      <c r="A5106" s="227"/>
      <c r="B5106" s="225"/>
      <c r="C5106" s="36" t="s">
        <v>1233</v>
      </c>
      <c r="D5106" s="36" t="s">
        <v>759</v>
      </c>
      <c r="E5106" s="37">
        <v>0.13880000000000001</v>
      </c>
      <c r="F5106" s="31">
        <v>22.268000000000001</v>
      </c>
      <c r="G5106" s="54">
        <f t="shared" si="93"/>
        <v>3.0907984000000002</v>
      </c>
      <c r="H5106" s="73"/>
      <c r="I5106" s="74"/>
      <c r="J5106" s="156">
        <v>0</v>
      </c>
    </row>
    <row r="5107" spans="1:10" hidden="1" x14ac:dyDescent="0.25">
      <c r="A5107" s="227"/>
      <c r="B5107" s="225"/>
      <c r="C5107" s="36"/>
      <c r="D5107" s="47"/>
      <c r="E5107" s="37"/>
      <c r="F5107" s="54" t="s">
        <v>572</v>
      </c>
      <c r="G5107" s="54" t="str">
        <f t="shared" si="93"/>
        <v/>
      </c>
      <c r="H5107" s="73"/>
      <c r="I5107" s="74"/>
      <c r="J5107" s="156">
        <v>0</v>
      </c>
    </row>
    <row r="5108" spans="1:10" ht="15.75" hidden="1" thickBot="1" x14ac:dyDescent="0.3">
      <c r="A5108" s="221" t="s">
        <v>3750</v>
      </c>
      <c r="B5108" s="224" t="str">
        <f>INDEX(Orçamentária!A:B,MATCH(Composições!A5108,Orçamentária!A:A,0),2)</f>
        <v>Caixa de passagem em alumínio 300x300x120mm</v>
      </c>
      <c r="C5108" s="41"/>
      <c r="D5108" s="26" t="str">
        <f>TRIM(INDEX(Orçamentária!C:C,MATCH(Composições!A5108,Orçamentária!A:A,0),1))</f>
        <v>un</v>
      </c>
      <c r="E5108" s="27"/>
      <c r="F5108" s="42" t="s">
        <v>572</v>
      </c>
      <c r="G5108" s="28" t="str">
        <f t="shared" si="93"/>
        <v/>
      </c>
      <c r="H5108" s="29"/>
      <c r="I5108" s="30"/>
      <c r="J5108" s="156">
        <v>0</v>
      </c>
    </row>
    <row r="5109" spans="1:10" hidden="1" x14ac:dyDescent="0.25">
      <c r="A5109" s="222"/>
      <c r="B5109" s="225"/>
      <c r="C5109" s="32"/>
      <c r="D5109" s="32"/>
      <c r="E5109" s="33"/>
      <c r="F5109" s="43" t="s">
        <v>572</v>
      </c>
      <c r="G5109" s="31" t="str">
        <f t="shared" si="93"/>
        <v/>
      </c>
      <c r="H5109" s="35"/>
      <c r="I5109" s="31"/>
      <c r="J5109" s="156">
        <v>0</v>
      </c>
    </row>
    <row r="5110" spans="1:10" hidden="1" x14ac:dyDescent="0.25">
      <c r="A5110" s="222"/>
      <c r="B5110" s="225"/>
      <c r="C5110" s="36" t="s">
        <v>30</v>
      </c>
      <c r="D5110" s="36" t="s">
        <v>12</v>
      </c>
      <c r="E5110" s="37">
        <v>0.34599999999999997</v>
      </c>
      <c r="F5110" s="31">
        <v>22.268000000000001</v>
      </c>
      <c r="G5110" s="34">
        <f t="shared" si="93"/>
        <v>7.7047279999999994</v>
      </c>
      <c r="H5110" s="39">
        <f>SUM(G5110:G5112)</f>
        <v>76.637506999999999</v>
      </c>
      <c r="I5110" s="40"/>
      <c r="J5110" s="156">
        <v>0</v>
      </c>
    </row>
    <row r="5111" spans="1:10" hidden="1" x14ac:dyDescent="0.25">
      <c r="A5111" s="222"/>
      <c r="B5111" s="225"/>
      <c r="C5111" s="36" t="s">
        <v>23</v>
      </c>
      <c r="D5111" s="36" t="s">
        <v>12</v>
      </c>
      <c r="E5111" s="37">
        <v>0.34599999999999997</v>
      </c>
      <c r="F5111" s="31">
        <v>16.311500000000002</v>
      </c>
      <c r="G5111" s="34">
        <f t="shared" si="93"/>
        <v>5.6437790000000003</v>
      </c>
      <c r="H5111" s="35"/>
      <c r="I5111" s="31"/>
      <c r="J5111" s="156">
        <v>0</v>
      </c>
    </row>
    <row r="5112" spans="1:10" ht="25.5" hidden="1" x14ac:dyDescent="0.25">
      <c r="A5112" s="222"/>
      <c r="B5112" s="225"/>
      <c r="C5112" s="36" t="s">
        <v>3445</v>
      </c>
      <c r="D5112" s="36" t="s">
        <v>20</v>
      </c>
      <c r="E5112" s="37">
        <v>1</v>
      </c>
      <c r="F5112" s="34">
        <v>63.289000000000001</v>
      </c>
      <c r="G5112" s="31">
        <f t="shared" si="93"/>
        <v>63.289000000000001</v>
      </c>
      <c r="H5112" s="35"/>
      <c r="I5112" s="31"/>
      <c r="J5112" s="156">
        <v>0</v>
      </c>
    </row>
    <row r="5113" spans="1:10" ht="15.75" hidden="1" thickBot="1" x14ac:dyDescent="0.3">
      <c r="A5113" s="223"/>
      <c r="B5113" s="226"/>
      <c r="C5113" s="36"/>
      <c r="D5113" s="36"/>
      <c r="E5113" s="37"/>
      <c r="F5113" s="31" t="s">
        <v>572</v>
      </c>
      <c r="G5113" s="31" t="str">
        <f t="shared" ref="G5113:G5144" si="94">IF(ISNUMBER(F5113),E5113*F5113,"")</f>
        <v/>
      </c>
      <c r="H5113" s="35"/>
      <c r="I5113" s="31"/>
      <c r="J5113" s="156">
        <v>0</v>
      </c>
    </row>
    <row r="5114" spans="1:10" ht="15.75" hidden="1" thickBot="1" x14ac:dyDescent="0.3">
      <c r="A5114" s="230" t="s">
        <v>3752</v>
      </c>
      <c r="B5114" s="232" t="str">
        <f>INDEX(Orçamentária!A:B,MATCH(Composições!A5114,Orçamentária!A:A,0),2)</f>
        <v>Caixa de Passagem Subterrânea 1600x2000mm</v>
      </c>
      <c r="C5114" s="41"/>
      <c r="D5114" s="26" t="str">
        <f>TRIM(INDEX(Orçamentária!C:C,MATCH(Composições!A5114,Orçamentária!A:A,0),1))</f>
        <v>un</v>
      </c>
      <c r="E5114" s="27"/>
      <c r="F5114" s="42" t="s">
        <v>572</v>
      </c>
      <c r="G5114" s="28" t="str">
        <f t="shared" si="94"/>
        <v/>
      </c>
      <c r="H5114" s="29"/>
      <c r="I5114" s="30"/>
      <c r="J5114" s="156">
        <v>0</v>
      </c>
    </row>
    <row r="5115" spans="1:10" hidden="1" x14ac:dyDescent="0.25">
      <c r="A5115" s="231"/>
      <c r="B5115" s="233"/>
      <c r="C5115" s="32"/>
      <c r="D5115" s="32"/>
      <c r="E5115" s="33"/>
      <c r="F5115" s="43" t="s">
        <v>572</v>
      </c>
      <c r="G5115" s="31" t="str">
        <f t="shared" si="94"/>
        <v/>
      </c>
      <c r="H5115" s="35"/>
      <c r="I5115" s="31"/>
      <c r="J5115" s="156">
        <v>0</v>
      </c>
    </row>
    <row r="5116" spans="1:10" hidden="1" x14ac:dyDescent="0.25">
      <c r="A5116" s="231"/>
      <c r="B5116" s="233"/>
      <c r="C5116" s="36" t="s">
        <v>824</v>
      </c>
      <c r="D5116" s="36" t="s">
        <v>957</v>
      </c>
      <c r="E5116" s="37">
        <f>ROUND(22.81*1.3,4)</f>
        <v>29.652999999999999</v>
      </c>
      <c r="F5116" s="31">
        <v>9.5474999999999994</v>
      </c>
      <c r="G5116" s="34">
        <f t="shared" si="94"/>
        <v>283.11201749999998</v>
      </c>
      <c r="H5116" s="39">
        <f>SUM(G5116:G5127)</f>
        <v>1786.8423815648528</v>
      </c>
      <c r="I5116" s="40"/>
      <c r="J5116" s="156">
        <v>0</v>
      </c>
    </row>
    <row r="5117" spans="1:10" ht="25.5" hidden="1" x14ac:dyDescent="0.25">
      <c r="A5117" s="231"/>
      <c r="B5117" s="233"/>
      <c r="C5117" s="36" t="s">
        <v>3606</v>
      </c>
      <c r="D5117" s="36" t="s">
        <v>957</v>
      </c>
      <c r="E5117" s="37">
        <f>ROUND(0.684*1.3,4)</f>
        <v>0.88919999999999999</v>
      </c>
      <c r="F5117" s="31">
        <v>18.838499999999996</v>
      </c>
      <c r="G5117" s="34">
        <f t="shared" si="94"/>
        <v>16.751194199999997</v>
      </c>
      <c r="H5117" s="35"/>
      <c r="I5117" s="31"/>
      <c r="J5117" s="156">
        <v>0</v>
      </c>
    </row>
    <row r="5118" spans="1:10" ht="51" hidden="1" x14ac:dyDescent="0.25">
      <c r="A5118" s="231"/>
      <c r="B5118" s="233"/>
      <c r="C5118" s="36" t="s">
        <v>3428</v>
      </c>
      <c r="D5118" s="36" t="s">
        <v>1053</v>
      </c>
      <c r="E5118" s="37">
        <f>ROUND(7.02*1.3,4)</f>
        <v>9.1259999999999994</v>
      </c>
      <c r="F5118" s="34">
        <v>57.345162156320015</v>
      </c>
      <c r="G5118" s="31">
        <f t="shared" si="94"/>
        <v>523.33194983857641</v>
      </c>
      <c r="H5118" s="35"/>
      <c r="I5118" s="31"/>
      <c r="J5118" s="156">
        <v>0</v>
      </c>
    </row>
    <row r="5119" spans="1:10" ht="63.75" hidden="1" x14ac:dyDescent="0.25">
      <c r="A5119" s="231"/>
      <c r="B5119" s="233"/>
      <c r="C5119" s="36" t="s">
        <v>3430</v>
      </c>
      <c r="D5119" s="36" t="s">
        <v>1053</v>
      </c>
      <c r="E5119" s="37">
        <f>ROUND(6.5*1.3,4)</f>
        <v>8.4499999999999993</v>
      </c>
      <c r="F5119" s="31">
        <v>22.924060248819998</v>
      </c>
      <c r="G5119" s="34">
        <f t="shared" si="94"/>
        <v>193.70830910252897</v>
      </c>
      <c r="H5119" s="35"/>
      <c r="I5119" s="40"/>
      <c r="J5119" s="156">
        <v>0</v>
      </c>
    </row>
    <row r="5120" spans="1:10" ht="38.25" hidden="1" x14ac:dyDescent="0.25">
      <c r="A5120" s="231"/>
      <c r="B5120" s="233"/>
      <c r="C5120" s="36" t="s">
        <v>3429</v>
      </c>
      <c r="D5120" s="36" t="s">
        <v>1053</v>
      </c>
      <c r="E5120" s="37">
        <f>ROUND(6.5*1.3,4)</f>
        <v>8.4499999999999993</v>
      </c>
      <c r="F5120" s="31">
        <v>3.4381937636900002</v>
      </c>
      <c r="G5120" s="34">
        <f t="shared" si="94"/>
        <v>29.0527373031805</v>
      </c>
      <c r="H5120" s="35"/>
      <c r="I5120" s="31"/>
      <c r="J5120" s="156">
        <v>0</v>
      </c>
    </row>
    <row r="5121" spans="1:10" hidden="1" x14ac:dyDescent="0.25">
      <c r="A5121" s="231"/>
      <c r="B5121" s="233"/>
      <c r="C5121" s="36" t="s">
        <v>960</v>
      </c>
      <c r="D5121" s="36" t="s">
        <v>759</v>
      </c>
      <c r="E5121" s="37">
        <f>ROUND(0.9*1.3,4)</f>
        <v>1.17</v>
      </c>
      <c r="F5121" s="34">
        <v>21.973499999999998</v>
      </c>
      <c r="G5121" s="31">
        <f t="shared" si="94"/>
        <v>25.708994999999994</v>
      </c>
      <c r="H5121" s="35"/>
      <c r="I5121" s="31"/>
      <c r="J5121" s="156">
        <v>0</v>
      </c>
    </row>
    <row r="5122" spans="1:10" hidden="1" x14ac:dyDescent="0.25">
      <c r="A5122" s="231"/>
      <c r="B5122" s="233"/>
      <c r="C5122" s="36" t="s">
        <v>768</v>
      </c>
      <c r="D5122" s="36" t="s">
        <v>759</v>
      </c>
      <c r="E5122" s="37">
        <f>ROUND(5.62*1.3,4)</f>
        <v>7.306</v>
      </c>
      <c r="F5122" s="31">
        <v>22.087499999999999</v>
      </c>
      <c r="G5122" s="34">
        <f t="shared" si="94"/>
        <v>161.371275</v>
      </c>
      <c r="H5122" s="35"/>
      <c r="I5122" s="40"/>
      <c r="J5122" s="156">
        <v>0</v>
      </c>
    </row>
    <row r="5123" spans="1:10" hidden="1" x14ac:dyDescent="0.25">
      <c r="A5123" s="231"/>
      <c r="B5123" s="233"/>
      <c r="C5123" s="36" t="s">
        <v>760</v>
      </c>
      <c r="D5123" s="36" t="s">
        <v>759</v>
      </c>
      <c r="E5123" s="37">
        <f>ROUND(5.62*1.3,4)</f>
        <v>7.306</v>
      </c>
      <c r="F5123" s="31">
        <v>16.311500000000002</v>
      </c>
      <c r="G5123" s="34">
        <f t="shared" si="94"/>
        <v>119.17181900000001</v>
      </c>
      <c r="H5123" s="35"/>
      <c r="I5123" s="31"/>
      <c r="J5123" s="156">
        <v>0</v>
      </c>
    </row>
    <row r="5124" spans="1:10" ht="51" hidden="1" x14ac:dyDescent="0.25">
      <c r="A5124" s="231"/>
      <c r="B5124" s="233"/>
      <c r="C5124" s="36" t="s">
        <v>3427</v>
      </c>
      <c r="D5124" s="36" t="s">
        <v>1053</v>
      </c>
      <c r="E5124" s="37">
        <f>ROUND(0.47*1.3,4)</f>
        <v>0.61099999999999999</v>
      </c>
      <c r="F5124" s="34">
        <v>158.49843595500002</v>
      </c>
      <c r="G5124" s="31">
        <f t="shared" si="94"/>
        <v>96.842544368505003</v>
      </c>
      <c r="H5124" s="35"/>
      <c r="I5124" s="31"/>
      <c r="J5124" s="156">
        <v>0</v>
      </c>
    </row>
    <row r="5125" spans="1:10" ht="38.25" hidden="1" x14ac:dyDescent="0.25">
      <c r="A5125" s="231"/>
      <c r="B5125" s="233"/>
      <c r="C5125" s="36" t="s">
        <v>1548</v>
      </c>
      <c r="D5125" s="36" t="s">
        <v>124</v>
      </c>
      <c r="E5125" s="37">
        <f>ROUND(0.218*1.3,4)</f>
        <v>0.28339999999999999</v>
      </c>
      <c r="F5125" s="31">
        <v>366.76949528349991</v>
      </c>
      <c r="G5125" s="34">
        <f t="shared" si="94"/>
        <v>103.94247496334387</v>
      </c>
      <c r="H5125" s="35"/>
      <c r="I5125" s="40"/>
      <c r="J5125" s="156">
        <v>0</v>
      </c>
    </row>
    <row r="5126" spans="1:10" ht="25.5" hidden="1" x14ac:dyDescent="0.25">
      <c r="A5126" s="231"/>
      <c r="B5126" s="233"/>
      <c r="C5126" s="36" t="s">
        <v>1229</v>
      </c>
      <c r="D5126" s="36" t="s">
        <v>124</v>
      </c>
      <c r="E5126" s="37">
        <f>ROUND(0.169*1.3,4)</f>
        <v>0.21970000000000001</v>
      </c>
      <c r="F5126" s="31">
        <v>387.69040241229999</v>
      </c>
      <c r="G5126" s="34">
        <f t="shared" si="94"/>
        <v>85.175581409982314</v>
      </c>
      <c r="H5126" s="35"/>
      <c r="I5126" s="31"/>
      <c r="J5126" s="156">
        <v>0</v>
      </c>
    </row>
    <row r="5127" spans="1:10" ht="25.5" hidden="1" x14ac:dyDescent="0.25">
      <c r="A5127" s="231"/>
      <c r="B5127" s="233"/>
      <c r="C5127" s="36" t="s">
        <v>1134</v>
      </c>
      <c r="D5127" s="36" t="s">
        <v>124</v>
      </c>
      <c r="E5127" s="37">
        <f>ROUND(0.2808*1.3,4)</f>
        <v>0.36499999999999999</v>
      </c>
      <c r="F5127" s="34">
        <v>407.3246133664</v>
      </c>
      <c r="G5127" s="31">
        <f t="shared" si="94"/>
        <v>148.67348387873599</v>
      </c>
      <c r="H5127" s="35"/>
      <c r="I5127" s="31"/>
      <c r="J5127" s="156">
        <v>0</v>
      </c>
    </row>
    <row r="5128" spans="1:10" ht="15.75" hidden="1" thickBot="1" x14ac:dyDescent="0.3">
      <c r="A5128" s="234"/>
      <c r="B5128" s="235"/>
      <c r="C5128" s="36"/>
      <c r="D5128" s="36"/>
      <c r="E5128" s="37"/>
      <c r="F5128" s="31" t="s">
        <v>572</v>
      </c>
      <c r="G5128" s="31" t="str">
        <f t="shared" si="94"/>
        <v/>
      </c>
      <c r="H5128" s="35"/>
      <c r="I5128" s="31"/>
      <c r="J5128" s="156">
        <v>0</v>
      </c>
    </row>
    <row r="5129" spans="1:10" ht="15.75" hidden="1" thickBot="1" x14ac:dyDescent="0.3">
      <c r="A5129" s="221" t="s">
        <v>3754</v>
      </c>
      <c r="B5129" s="224" t="str">
        <f>INDEX(Orçamentária!A:B,MATCH(Composições!A5129,Orçamentária!A:A,0),2)</f>
        <v>Projeto Executivo de Rede de Telecomunicações Backbone</v>
      </c>
      <c r="C5129" s="41"/>
      <c r="D5129" s="26" t="str">
        <f>TRIM(INDEX(Orçamentária!C:C,MATCH(Composições!A5129,Orçamentária!A:A,0),1))</f>
        <v>un</v>
      </c>
      <c r="E5129" s="27"/>
      <c r="F5129" s="42" t="s">
        <v>572</v>
      </c>
      <c r="G5129" s="28" t="str">
        <f t="shared" si="94"/>
        <v/>
      </c>
      <c r="H5129" s="29"/>
      <c r="I5129" s="30"/>
      <c r="J5129" s="156">
        <v>0</v>
      </c>
    </row>
    <row r="5130" spans="1:10" hidden="1" x14ac:dyDescent="0.25">
      <c r="A5130" s="222"/>
      <c r="B5130" s="225"/>
      <c r="C5130" s="32"/>
      <c r="D5130" s="32"/>
      <c r="E5130" s="33"/>
      <c r="F5130" s="43" t="s">
        <v>572</v>
      </c>
      <c r="G5130" s="31" t="str">
        <f t="shared" si="94"/>
        <v/>
      </c>
      <c r="H5130" s="35"/>
      <c r="I5130" s="31"/>
      <c r="J5130" s="156">
        <v>0</v>
      </c>
    </row>
    <row r="5131" spans="1:10" hidden="1" x14ac:dyDescent="0.25">
      <c r="A5131" s="222"/>
      <c r="B5131" s="225"/>
      <c r="C5131" s="36" t="s">
        <v>18</v>
      </c>
      <c r="D5131" s="36" t="s">
        <v>12</v>
      </c>
      <c r="E5131" s="37">
        <v>40</v>
      </c>
      <c r="F5131" s="31">
        <v>100.6525</v>
      </c>
      <c r="G5131" s="34">
        <f t="shared" si="94"/>
        <v>4026.1000000000004</v>
      </c>
      <c r="H5131" s="39">
        <f>SUM(G5131:G5135)</f>
        <v>5005.17</v>
      </c>
      <c r="I5131" s="40"/>
      <c r="J5131" s="156">
        <v>0</v>
      </c>
    </row>
    <row r="5132" spans="1:10" hidden="1" x14ac:dyDescent="0.25">
      <c r="A5132" s="222"/>
      <c r="B5132" s="225"/>
      <c r="C5132" s="36" t="s">
        <v>3438</v>
      </c>
      <c r="D5132" s="36" t="s">
        <v>12</v>
      </c>
      <c r="E5132" s="37">
        <v>20</v>
      </c>
      <c r="F5132" s="31">
        <v>23.997</v>
      </c>
      <c r="G5132" s="34">
        <f t="shared" si="94"/>
        <v>479.94</v>
      </c>
      <c r="H5132" s="35"/>
      <c r="I5132" s="31"/>
      <c r="J5132" s="156">
        <v>0</v>
      </c>
    </row>
    <row r="5133" spans="1:10" hidden="1" x14ac:dyDescent="0.25">
      <c r="A5133" s="222"/>
      <c r="B5133" s="225"/>
      <c r="C5133" s="36" t="s">
        <v>3439</v>
      </c>
      <c r="D5133" s="36" t="s">
        <v>12</v>
      </c>
      <c r="E5133" s="37">
        <v>20</v>
      </c>
      <c r="F5133" s="31">
        <v>17.251999999999999</v>
      </c>
      <c r="G5133" s="34">
        <f t="shared" si="94"/>
        <v>345.03999999999996</v>
      </c>
      <c r="H5133" s="35"/>
      <c r="I5133" s="31"/>
      <c r="J5133" s="156">
        <v>0</v>
      </c>
    </row>
    <row r="5134" spans="1:10" hidden="1" x14ac:dyDescent="0.25">
      <c r="A5134" s="222"/>
      <c r="B5134" s="225"/>
      <c r="C5134" s="36" t="s">
        <v>3435</v>
      </c>
      <c r="D5134" s="36" t="s">
        <v>12</v>
      </c>
      <c r="E5134" s="37">
        <v>20</v>
      </c>
      <c r="F5134" s="31">
        <v>7.7044999999999995</v>
      </c>
      <c r="G5134" s="34">
        <f t="shared" si="94"/>
        <v>154.08999999999997</v>
      </c>
      <c r="H5134" s="35"/>
      <c r="I5134" s="31"/>
      <c r="J5134" s="156">
        <v>0</v>
      </c>
    </row>
    <row r="5135" spans="1:10" hidden="1" x14ac:dyDescent="0.25">
      <c r="A5135" s="222"/>
      <c r="B5135" s="225"/>
      <c r="C5135" s="36" t="s">
        <v>19</v>
      </c>
      <c r="D5135" s="36" t="s">
        <v>20</v>
      </c>
      <c r="E5135" s="37">
        <v>1</v>
      </c>
      <c r="F5135" s="34" t="s">
        <v>572</v>
      </c>
      <c r="G5135" s="31" t="str">
        <f t="shared" si="94"/>
        <v/>
      </c>
      <c r="H5135" s="35"/>
      <c r="I5135" s="31"/>
      <c r="J5135" s="156">
        <v>0</v>
      </c>
    </row>
    <row r="5136" spans="1:10" ht="15.75" hidden="1" thickBot="1" x14ac:dyDescent="0.3">
      <c r="A5136" s="223"/>
      <c r="B5136" s="226"/>
      <c r="C5136" s="36"/>
      <c r="D5136" s="36"/>
      <c r="E5136" s="37"/>
      <c r="F5136" s="31" t="s">
        <v>572</v>
      </c>
      <c r="G5136" s="31" t="str">
        <f t="shared" si="94"/>
        <v/>
      </c>
      <c r="H5136" s="35"/>
      <c r="I5136" s="31"/>
      <c r="J5136" s="156">
        <v>0</v>
      </c>
    </row>
    <row r="5137" spans="1:10" ht="15.75" hidden="1" thickBot="1" x14ac:dyDescent="0.3">
      <c r="A5137" s="221" t="s">
        <v>3756</v>
      </c>
      <c r="B5137" s="224" t="str">
        <f>INDEX(Orçamentária!A:B,MATCH(Composições!A5137,Orçamentária!A:A,0),2)</f>
        <v>Eletroduto PEAD 2”</v>
      </c>
      <c r="C5137" s="41"/>
      <c r="D5137" s="26" t="str">
        <f>TRIM(INDEX(Orçamentária!C:C,MATCH(Composições!A5137,Orçamentária!A:A,0),1))</f>
        <v>m</v>
      </c>
      <c r="E5137" s="27"/>
      <c r="F5137" s="42" t="s">
        <v>572</v>
      </c>
      <c r="G5137" s="28" t="str">
        <f t="shared" si="94"/>
        <v/>
      </c>
      <c r="H5137" s="29"/>
      <c r="I5137" s="30"/>
      <c r="J5137" s="156">
        <v>0</v>
      </c>
    </row>
    <row r="5138" spans="1:10" hidden="1" x14ac:dyDescent="0.25">
      <c r="A5138" s="222"/>
      <c r="B5138" s="225"/>
      <c r="C5138" s="32"/>
      <c r="D5138" s="32"/>
      <c r="E5138" s="33"/>
      <c r="F5138" s="43" t="s">
        <v>572</v>
      </c>
      <c r="G5138" s="31" t="str">
        <f t="shared" si="94"/>
        <v/>
      </c>
      <c r="H5138" s="35"/>
      <c r="I5138" s="31"/>
      <c r="J5138" s="156">
        <v>0</v>
      </c>
    </row>
    <row r="5139" spans="1:10" ht="38.25" hidden="1" x14ac:dyDescent="0.25">
      <c r="A5139" s="222"/>
      <c r="B5139" s="225"/>
      <c r="C5139" s="36" t="s">
        <v>3455</v>
      </c>
      <c r="D5139" s="36" t="s">
        <v>527</v>
      </c>
      <c r="E5139" s="37">
        <v>1.1000000000000001</v>
      </c>
      <c r="F5139" s="31">
        <v>5.6050000000000004</v>
      </c>
      <c r="G5139" s="34">
        <f t="shared" si="94"/>
        <v>6.1655000000000006</v>
      </c>
      <c r="H5139" s="39">
        <f>SUM(G5139:G5141)</f>
        <v>10.327070000000001</v>
      </c>
      <c r="I5139" s="40"/>
      <c r="J5139" s="156">
        <v>0</v>
      </c>
    </row>
    <row r="5140" spans="1:10" hidden="1" x14ac:dyDescent="0.25">
      <c r="A5140" s="222"/>
      <c r="B5140" s="225"/>
      <c r="C5140" s="36" t="s">
        <v>1232</v>
      </c>
      <c r="D5140" s="36" t="s">
        <v>759</v>
      </c>
      <c r="E5140" s="37">
        <v>0.105</v>
      </c>
      <c r="F5140" s="31">
        <v>17.366</v>
      </c>
      <c r="G5140" s="34">
        <f t="shared" si="94"/>
        <v>1.8234299999999999</v>
      </c>
      <c r="H5140" s="35"/>
      <c r="I5140" s="31"/>
      <c r="J5140" s="156">
        <v>0</v>
      </c>
    </row>
    <row r="5141" spans="1:10" hidden="1" x14ac:dyDescent="0.25">
      <c r="A5141" s="222"/>
      <c r="B5141" s="225"/>
      <c r="C5141" s="36" t="s">
        <v>1233</v>
      </c>
      <c r="D5141" s="36" t="s">
        <v>759</v>
      </c>
      <c r="E5141" s="37">
        <v>0.105</v>
      </c>
      <c r="F5141" s="34">
        <v>22.268000000000001</v>
      </c>
      <c r="G5141" s="31">
        <f t="shared" si="94"/>
        <v>2.3381400000000001</v>
      </c>
      <c r="H5141" s="35"/>
      <c r="I5141" s="31"/>
      <c r="J5141" s="156">
        <v>0</v>
      </c>
    </row>
    <row r="5142" spans="1:10" ht="15.75" hidden="1" thickBot="1" x14ac:dyDescent="0.3">
      <c r="A5142" s="223"/>
      <c r="B5142" s="226"/>
      <c r="C5142" s="36"/>
      <c r="D5142" s="36"/>
      <c r="E5142" s="37"/>
      <c r="F5142" s="31" t="s">
        <v>572</v>
      </c>
      <c r="G5142" s="31" t="str">
        <f t="shared" si="94"/>
        <v/>
      </c>
      <c r="H5142" s="35"/>
      <c r="I5142" s="31"/>
      <c r="J5142" s="156">
        <v>0</v>
      </c>
    </row>
    <row r="5143" spans="1:10" ht="15.75" hidden="1" thickBot="1" x14ac:dyDescent="0.3">
      <c r="A5143" s="221" t="s">
        <v>3762</v>
      </c>
      <c r="B5143" s="224" t="str">
        <f>INDEX(Orçamentária!A:B,MATCH(Composições!A5143,Orçamentária!A:A,0),2)</f>
        <v>Tampa em Ferro Fundido - Circular DN-600 mm Classe 400</v>
      </c>
      <c r="C5143" s="41"/>
      <c r="D5143" s="26" t="str">
        <f>TRIM(INDEX(Orçamentária!C:C,MATCH(Composições!A5143,Orçamentária!A:A,0),1))</f>
        <v>un</v>
      </c>
      <c r="E5143" s="27"/>
      <c r="F5143" s="49" t="s">
        <v>572</v>
      </c>
      <c r="G5143" s="28" t="str">
        <f t="shared" si="94"/>
        <v/>
      </c>
      <c r="H5143" s="29"/>
      <c r="I5143" s="30"/>
      <c r="J5143" s="156">
        <v>0</v>
      </c>
    </row>
    <row r="5144" spans="1:10" hidden="1" x14ac:dyDescent="0.25">
      <c r="A5144" s="227"/>
      <c r="B5144" s="229"/>
      <c r="C5144" s="161"/>
      <c r="D5144" s="161"/>
      <c r="E5144" s="162"/>
      <c r="F5144" s="54" t="s">
        <v>572</v>
      </c>
      <c r="G5144" s="54" t="str">
        <f t="shared" si="94"/>
        <v/>
      </c>
      <c r="H5144" s="73"/>
      <c r="I5144" s="74"/>
      <c r="J5144" s="156">
        <v>0</v>
      </c>
    </row>
    <row r="5145" spans="1:10" ht="25.5" hidden="1" x14ac:dyDescent="0.25">
      <c r="A5145" s="227"/>
      <c r="B5145" s="229"/>
      <c r="C5145" s="163" t="s">
        <v>3475</v>
      </c>
      <c r="D5145" s="163" t="s">
        <v>299</v>
      </c>
      <c r="E5145" s="164">
        <v>1</v>
      </c>
      <c r="F5145" s="31">
        <v>768.83499999999992</v>
      </c>
      <c r="G5145" s="54">
        <f t="shared" ref="G5145:G5176" si="95">IF(ISNUMBER(F5145),E5145*F5145,"")</f>
        <v>768.83499999999992</v>
      </c>
      <c r="H5145" s="39">
        <f>SUM(G5145:G5148)</f>
        <v>828.23455871461294</v>
      </c>
      <c r="I5145" s="40"/>
      <c r="J5145" s="156">
        <v>0</v>
      </c>
    </row>
    <row r="5146" spans="1:10" ht="38.25" hidden="1" x14ac:dyDescent="0.25">
      <c r="A5146" s="227"/>
      <c r="B5146" s="229"/>
      <c r="C5146" s="163" t="s">
        <v>1063</v>
      </c>
      <c r="D5146" s="163" t="s">
        <v>124</v>
      </c>
      <c r="E5146" s="164">
        <v>4.4999999999999997E-3</v>
      </c>
      <c r="F5146" s="31">
        <v>400.23526991400001</v>
      </c>
      <c r="G5146" s="54">
        <f t="shared" si="95"/>
        <v>1.8010587146129999</v>
      </c>
      <c r="H5146" s="73"/>
      <c r="I5146" s="74"/>
      <c r="J5146" s="156">
        <v>0</v>
      </c>
    </row>
    <row r="5147" spans="1:10" hidden="1" x14ac:dyDescent="0.25">
      <c r="A5147" s="227"/>
      <c r="B5147" s="229"/>
      <c r="C5147" s="163" t="s">
        <v>768</v>
      </c>
      <c r="D5147" s="165" t="s">
        <v>759</v>
      </c>
      <c r="E5147" s="164">
        <v>1.5</v>
      </c>
      <c r="F5147" s="31">
        <v>22.087499999999999</v>
      </c>
      <c r="G5147" s="54">
        <f t="shared" si="95"/>
        <v>33.131249999999994</v>
      </c>
      <c r="H5147" s="73"/>
      <c r="I5147" s="74"/>
      <c r="J5147" s="156">
        <v>0</v>
      </c>
    </row>
    <row r="5148" spans="1:10" hidden="1" x14ac:dyDescent="0.25">
      <c r="A5148" s="227"/>
      <c r="B5148" s="229"/>
      <c r="C5148" s="163" t="s">
        <v>760</v>
      </c>
      <c r="D5148" s="163" t="s">
        <v>759</v>
      </c>
      <c r="E5148" s="164">
        <v>1.5</v>
      </c>
      <c r="F5148" s="31">
        <v>16.311500000000002</v>
      </c>
      <c r="G5148" s="54">
        <f t="shared" si="95"/>
        <v>24.467250000000003</v>
      </c>
      <c r="H5148" s="73"/>
      <c r="I5148" s="74"/>
      <c r="J5148" s="156">
        <v>0</v>
      </c>
    </row>
    <row r="5149" spans="1:10" ht="15.75" hidden="1" thickBot="1" x14ac:dyDescent="0.3">
      <c r="A5149" s="228"/>
      <c r="B5149" s="226"/>
      <c r="C5149" s="55"/>
      <c r="D5149" s="166"/>
      <c r="E5149" s="66"/>
      <c r="F5149" s="76" t="s">
        <v>572</v>
      </c>
      <c r="G5149" s="76" t="str">
        <f t="shared" si="95"/>
        <v/>
      </c>
      <c r="H5149" s="77"/>
      <c r="I5149" s="74"/>
      <c r="J5149" s="156">
        <v>0</v>
      </c>
    </row>
    <row r="5150" spans="1:10" ht="15.75" hidden="1" thickBot="1" x14ac:dyDescent="0.3">
      <c r="A5150" s="221" t="s">
        <v>3798</v>
      </c>
      <c r="B5150" s="224" t="str">
        <f>INDEX(Orçamentária!A:B,MATCH(Composições!A5150,Orçamentária!A:A,0),2)</f>
        <v>Tubo multicamadas flexível 20 mm</v>
      </c>
      <c r="C5150" s="41"/>
      <c r="D5150" s="26" t="str">
        <f>TRIM(INDEX(Orçamentária!C:C,MATCH(Composições!A5150,Orçamentária!A:A,0),1))</f>
        <v>m</v>
      </c>
      <c r="E5150" s="27"/>
      <c r="F5150" s="49" t="s">
        <v>572</v>
      </c>
      <c r="G5150" s="28" t="str">
        <f t="shared" si="95"/>
        <v/>
      </c>
      <c r="H5150" s="29"/>
      <c r="I5150" s="30"/>
      <c r="J5150" s="156">
        <v>0</v>
      </c>
    </row>
    <row r="5151" spans="1:10" hidden="1" x14ac:dyDescent="0.25">
      <c r="A5151" s="227"/>
      <c r="B5151" s="225"/>
      <c r="C5151" s="168"/>
      <c r="D5151" s="168"/>
      <c r="E5151" s="169"/>
      <c r="F5151" s="54" t="s">
        <v>572</v>
      </c>
      <c r="G5151" s="54" t="str">
        <f t="shared" si="95"/>
        <v/>
      </c>
      <c r="H5151" s="73"/>
      <c r="I5151" s="74"/>
      <c r="J5151" s="156">
        <v>0</v>
      </c>
    </row>
    <row r="5152" spans="1:10" ht="25.5" hidden="1" x14ac:dyDescent="0.25">
      <c r="A5152" s="227"/>
      <c r="B5152" s="225"/>
      <c r="C5152" s="36" t="s">
        <v>3486</v>
      </c>
      <c r="D5152" s="36" t="s">
        <v>527</v>
      </c>
      <c r="E5152" s="37">
        <v>1.0216000000000001</v>
      </c>
      <c r="F5152" s="31">
        <v>15.855500000000001</v>
      </c>
      <c r="G5152" s="54">
        <f t="shared" si="95"/>
        <v>16.197978800000001</v>
      </c>
      <c r="H5152" s="39">
        <f>SUM(G5152:G5154)</f>
        <v>23.417602600000002</v>
      </c>
      <c r="I5152" s="40"/>
      <c r="J5152" s="156">
        <v>0</v>
      </c>
    </row>
    <row r="5153" spans="1:10" ht="25.5" hidden="1" x14ac:dyDescent="0.25">
      <c r="A5153" s="227"/>
      <c r="B5153" s="225"/>
      <c r="C5153" s="36" t="s">
        <v>1012</v>
      </c>
      <c r="D5153" s="47" t="s">
        <v>759</v>
      </c>
      <c r="E5153" s="37">
        <v>8.1799999999999998E-2</v>
      </c>
      <c r="F5153" s="31">
        <v>16.891000000000002</v>
      </c>
      <c r="G5153" s="54">
        <f t="shared" si="95"/>
        <v>1.3816838</v>
      </c>
      <c r="H5153" s="73"/>
      <c r="I5153" s="74"/>
      <c r="J5153" s="156">
        <v>0</v>
      </c>
    </row>
    <row r="5154" spans="1:10" ht="25.5" hidden="1" x14ac:dyDescent="0.25">
      <c r="A5154" s="227"/>
      <c r="B5154" s="225"/>
      <c r="C5154" s="36" t="s">
        <v>1013</v>
      </c>
      <c r="D5154" s="36" t="s">
        <v>759</v>
      </c>
      <c r="E5154" s="37">
        <v>0.27</v>
      </c>
      <c r="F5154" s="31">
        <v>21.622</v>
      </c>
      <c r="G5154" s="54">
        <f t="shared" si="95"/>
        <v>5.8379400000000006</v>
      </c>
      <c r="H5154" s="73"/>
      <c r="I5154" s="74"/>
      <c r="J5154" s="156">
        <v>0</v>
      </c>
    </row>
    <row r="5155" spans="1:10" hidden="1" x14ac:dyDescent="0.25">
      <c r="A5155" s="227"/>
      <c r="B5155" s="225"/>
      <c r="C5155" s="36"/>
      <c r="D5155" s="47"/>
      <c r="E5155" s="37"/>
      <c r="F5155" s="54" t="s">
        <v>572</v>
      </c>
      <c r="G5155" s="54" t="str">
        <f t="shared" si="95"/>
        <v/>
      </c>
      <c r="H5155" s="73"/>
      <c r="I5155" s="74"/>
      <c r="J5155" s="156">
        <v>0</v>
      </c>
    </row>
    <row r="5156" spans="1:10" ht="15.75" hidden="1" thickBot="1" x14ac:dyDescent="0.3">
      <c r="A5156" s="221" t="s">
        <v>3800</v>
      </c>
      <c r="B5156" s="224" t="str">
        <f>INDEX(Orçamentária!A:B,MATCH(Composições!A5156,Orçamentária!A:A,0),2)</f>
        <v>Tubo multicamadas flexível 26 mm</v>
      </c>
      <c r="C5156" s="41"/>
      <c r="D5156" s="26" t="str">
        <f>TRIM(INDEX(Orçamentária!C:C,MATCH(Composições!A5156,Orçamentária!A:A,0),1))</f>
        <v>m</v>
      </c>
      <c r="E5156" s="27"/>
      <c r="F5156" s="49" t="s">
        <v>572</v>
      </c>
      <c r="G5156" s="28" t="str">
        <f t="shared" si="95"/>
        <v/>
      </c>
      <c r="H5156" s="29"/>
      <c r="I5156" s="30"/>
      <c r="J5156" s="156">
        <v>0</v>
      </c>
    </row>
    <row r="5157" spans="1:10" hidden="1" x14ac:dyDescent="0.25">
      <c r="A5157" s="227"/>
      <c r="B5157" s="229"/>
      <c r="C5157" s="170"/>
      <c r="D5157" s="170"/>
      <c r="E5157" s="171"/>
      <c r="F5157" s="54" t="s">
        <v>572</v>
      </c>
      <c r="G5157" s="54" t="str">
        <f t="shared" si="95"/>
        <v/>
      </c>
      <c r="H5157" s="73"/>
      <c r="I5157" s="74"/>
      <c r="J5157" s="156">
        <v>0</v>
      </c>
    </row>
    <row r="5158" spans="1:10" ht="25.5" hidden="1" x14ac:dyDescent="0.25">
      <c r="A5158" s="227"/>
      <c r="B5158" s="229"/>
      <c r="C5158" s="36" t="s">
        <v>3485</v>
      </c>
      <c r="D5158" s="163" t="s">
        <v>527</v>
      </c>
      <c r="E5158" s="164">
        <v>1.0216000000000001</v>
      </c>
      <c r="F5158" s="31">
        <v>21.945</v>
      </c>
      <c r="G5158" s="54">
        <f t="shared" si="95"/>
        <v>22.419012000000002</v>
      </c>
      <c r="H5158" s="39">
        <f>SUM(G5158:G5160)</f>
        <v>31.056546900000004</v>
      </c>
      <c r="I5158" s="40"/>
      <c r="J5158" s="156">
        <v>0</v>
      </c>
    </row>
    <row r="5159" spans="1:10" ht="25.5" hidden="1" x14ac:dyDescent="0.25">
      <c r="A5159" s="227"/>
      <c r="B5159" s="229"/>
      <c r="C5159" s="163" t="s">
        <v>1012</v>
      </c>
      <c r="D5159" s="165" t="s">
        <v>759</v>
      </c>
      <c r="E5159" s="164">
        <v>9.7900000000000001E-2</v>
      </c>
      <c r="F5159" s="31">
        <v>16.891000000000002</v>
      </c>
      <c r="G5159" s="54">
        <f t="shared" si="95"/>
        <v>1.6536289000000002</v>
      </c>
      <c r="H5159" s="73"/>
      <c r="I5159" s="74"/>
      <c r="J5159" s="156">
        <v>0</v>
      </c>
    </row>
    <row r="5160" spans="1:10" ht="25.5" hidden="1" x14ac:dyDescent="0.25">
      <c r="A5160" s="227"/>
      <c r="B5160" s="229"/>
      <c r="C5160" s="163" t="s">
        <v>1013</v>
      </c>
      <c r="D5160" s="163" t="s">
        <v>759</v>
      </c>
      <c r="E5160" s="164">
        <v>0.32300000000000001</v>
      </c>
      <c r="F5160" s="31">
        <v>21.622</v>
      </c>
      <c r="G5160" s="54">
        <f t="shared" si="95"/>
        <v>6.9839060000000002</v>
      </c>
      <c r="H5160" s="73"/>
      <c r="I5160" s="74"/>
      <c r="J5160" s="156">
        <v>0</v>
      </c>
    </row>
    <row r="5161" spans="1:10" ht="15.75" hidden="1" thickBot="1" x14ac:dyDescent="0.3">
      <c r="A5161" s="228"/>
      <c r="B5161" s="226"/>
      <c r="C5161" s="55"/>
      <c r="D5161" s="166"/>
      <c r="E5161" s="66"/>
      <c r="F5161" s="76" t="s">
        <v>572</v>
      </c>
      <c r="G5161" s="76" t="str">
        <f t="shared" si="95"/>
        <v/>
      </c>
      <c r="H5161" s="77"/>
      <c r="I5161" s="74"/>
      <c r="J5161" s="156">
        <v>0</v>
      </c>
    </row>
  </sheetData>
  <protectedRanges>
    <protectedRange sqref="C216 C108 C3161:C3162 C817 C3305 C1859 C1865 C1901 C1877 C1895 C1871 C1883 C1889 C1907 C1913 C1818 C1823 C1919 C2412 C3166 C3293 C3202 C3223 C3170 C3177 C3139 C3208 C3218 C3192 C3198 C3210 C3299 C1940 C1945 C1950 C2738 C2430 C2758 C2763 C2418 C2422 C2426 C2434 C2438 C2442 C2446 C2450 C2454" name="COTACOES_92_6"/>
    <protectedRange sqref="C354" name="COTACOES_14_1_1"/>
    <protectedRange sqref="C420 C399" name="COTACOES_92_13_1"/>
    <protectedRange sqref="C506" name="COTACOES_92_4_1_1"/>
    <protectedRange sqref="C499" name="COTACOES_92_4_2_1"/>
    <protectedRange sqref="C795:C796 C763 C760:C761 C777:C778 C780 C801" name="COTACOES_92_3_1_1"/>
    <protectedRange sqref="C751" name="COTACOES_92_22_1"/>
    <protectedRange sqref="C1231" name="COTACOES_91_1_2_1"/>
    <protectedRange sqref="C1224" name="COTACOES_91_1_3_1"/>
    <protectedRange sqref="C1393:C1394" name="COTACOES_68_1_1"/>
    <protectedRange sqref="F1531 F1547 F1523 F1515 F1539" name="COTACOES_27_1_2_1_8_1"/>
    <protectedRange sqref="C1555 C1531 C1547 C1523 C1515 C1539" name="COTACOES_5_1_8_1"/>
    <protectedRange sqref="C1412:C1416 C1427:C1431 C1442:C1446 C1457:C1461 C1472:C1476 C1487:C1491 C1502:C1506" name="COTACOES_32_1_1"/>
    <protectedRange sqref="F1587 F1590 F1593" name="COTACOES_27_1_2_1_17_1"/>
    <protectedRange sqref="C1586:C1591 C1593:C1594" name="COTACOES_5_1_17_1"/>
    <protectedRange sqref="C1651 C1634 C1628 C1657 C4933 C4939" name="COTACOES_15_1_1"/>
    <protectedRange sqref="C1740:C1742 C1751:C1753" name="COTACOES_8_1_1"/>
    <protectedRange sqref="C1718:C1720 C1729:C1731 C4793:C4794 C4800:C4801 C4807:C4808 C4814:C4815 C4857:C4858 C4870:C4871 C4876 C4880:C4881 C4886:C4887 C4900:C4901 C4945:C4946" name="COTACOES_9_1_1_3"/>
    <protectedRange sqref="C1704" name="COTACOES_10_1_1"/>
    <protectedRange sqref="C1778" name="COTACOES_42_1_3"/>
    <protectedRange sqref="C1792" name="COTACOES_42_1_1_1"/>
    <protectedRange sqref="C1806" name="COTACOES_42_1_2_1"/>
    <protectedRange sqref="F1764" name="COTACOES_27_1_1_3_1"/>
    <protectedRange sqref="F1771" name="COTACOES_27_1_1_4_1"/>
    <protectedRange sqref="C1830" name="COTACOES_37_1_1"/>
    <protectedRange sqref="C1836" name="COTACOES_82_1_1"/>
    <protectedRange sqref="C1849" name="COTACOES_58_1_1"/>
    <protectedRange sqref="C1855" name="COTACOES_61_1_1"/>
    <protectedRange sqref="C1861" name="COTACOES_40_1_1"/>
    <protectedRange sqref="C1867" name="COTACOES_36_1_2"/>
    <protectedRange sqref="C1903" name="COTACOES_41_1_2"/>
    <protectedRange sqref="C1879 C1897" name="COTACOES_41_1_1_1"/>
    <protectedRange sqref="C1873" name="COTACOES_36_1_1_1"/>
    <protectedRange sqref="C1885 C1891" name="COTACOES_44_1_1"/>
    <protectedRange sqref="C1909" name="COTACOES_51_1_1"/>
    <protectedRange sqref="F1909" name="COTACOES_54_1_1"/>
    <protectedRange sqref="C1915 C2414 C3045:C3046 C3196 C3190 C3173 C3226 C3180:C3182 C2740 C2753 C2746 C2770" name="COTACOES_55_1_3"/>
    <protectedRange sqref="F1915" name="COTACOES_57_1_1"/>
    <protectedRange sqref="C1957" name="COTACOES_75_1_2"/>
    <protectedRange sqref="C1963" name="COTACOES_75_1_1_1"/>
    <protectedRange sqref="C1993 C1985" name="COTACOES_78_1_1"/>
    <protectedRange sqref="C1976" name="COTACOES_80_1_2"/>
    <protectedRange sqref="C1969" name="COTACOES_80_1_1_1"/>
    <protectedRange sqref="C2345" name="COTACOES_62_1_1"/>
    <protectedRange sqref="C2406" name="COTACOES_4_1_1"/>
    <protectedRange sqref="C835:C836" name="COTACOES_92_4_3"/>
    <protectedRange sqref="C786" name="COTACOES_92_2_7"/>
    <protectedRange sqref="C3319" name="COTACOES_92_2_3_2"/>
    <protectedRange sqref="C3322" name="COTACOES_55_1_1_3"/>
    <protectedRange sqref="C3327" name="COTACOES_92_2_5_1"/>
    <protectedRange sqref="C3333" name="COTACOES_55_1_2_1"/>
    <protectedRange sqref="C3617:C3619" name="COTACOES_55_1_1_1_1"/>
    <protectedRange sqref="C3637:C3639 C3652" name="COTACOES_55_1_1_2_1"/>
    <protectedRange sqref="C3643" name="COTACOES_92_1_2_1"/>
    <protectedRange sqref="C3646:C3648 C3713 C3650:C3651 C3653 C3719" name="COTACOES_55_1_1_4_1"/>
    <protectedRange sqref="C3748 C3757" name="COTACOES_92_12_1"/>
    <protectedRange sqref="C3751:C3752 C3760:C3761" name="COTACOES_55_1_5_1"/>
    <protectedRange sqref="C3765" name="COTACOES_92_14_1"/>
    <protectedRange sqref="C3767:C3769" name="COTACOES_55_1_6_1"/>
    <protectedRange sqref="C3777:C3787" name="COTACOES_92_15_1"/>
    <protectedRange sqref="C3840" name="COTACOES_9_1_1_1_1"/>
    <protectedRange sqref="C3849:C3851" name="COTACOES_9_1_1_2_1"/>
    <protectedRange sqref="C3879" name="COTACOES_92_16_1"/>
    <protectedRange sqref="C3882:C3883" name="COTACOES_55_1_7_2"/>
    <protectedRange sqref="C3892" name="COTACOES_92_17_2"/>
    <protectedRange sqref="C3898:C3900" name="COTACOES_55_1_8_1"/>
    <protectedRange sqref="C3864 C4042 C4075 C4082 C4089 C4107" name="COTACOES_55_1_7_1_2"/>
    <protectedRange sqref="C3918 C3927 C3936 C3945 C3954 C3963" name="COTACOES_92_17_1_1"/>
    <protectedRange sqref="C3984" name="COTACOES_55_1_7_1_1_1"/>
    <protectedRange sqref="C2458 C2670 C2462 C2466 C2478 C2482 C2486 C2490 C2494 C2498 C2502 C2506 C2510 C2514 C2518 C2522 C2526 C2530 C2534 C2538 C2542 C2546 C2550 C2554 C2558 C2562 C2566 C2570 C2574 C2674 C2470 C2474" name="COTACOES_92_3_2"/>
    <protectedRange sqref="C2578 C2582 C2586 C2606 C2598 C2600:C2601 C2608:C2609 C2614 C2616:C2617 C2622 C2626 C2630 C2634 C2642 C2646 C2650 C2654 C2662 C2638 C2666" name="COTACOES_92_5_2"/>
    <protectedRange sqref="C4001 C3991:C3993 C3997:C3998" name="COTACOES_55_1_7_1_1_1_1"/>
    <protectedRange sqref="C4254" name="COTACOES_92_17_1_1_1"/>
    <protectedRange sqref="C2678:C2680 C2684:C2686 C2690:C2692 C2696:C2698 C2702:C2704 C2708:C2710 C2720:C2722 C2726:C2728 C2732:C2734 C2714:C2716" name="COTACOES_92_3_2_1"/>
    <protectedRange sqref="C4236" name="COTACOES_92_17_1_1_1_1"/>
    <protectedRange sqref="C387" name="COTACOES_92_3_1_1_1"/>
    <protectedRange sqref="C408" name="COTACOES_92_3_1_1_2"/>
    <protectedRange sqref="C417" name="COTACOES_92_3_1_1_3"/>
    <protectedRange sqref="C798" name="COTACOES_92_3_1_1_4"/>
    <protectedRange sqref="C809" name="COTACOES_92_3_1_1_5"/>
    <protectedRange sqref="C2594" name="COTACOES_92_5_2_1"/>
    <protectedRange sqref="C4108" name="COTACOES_92_5_2_2"/>
  </protectedRanges>
  <autoFilter ref="A5:J5161">
    <filterColumn colId="9">
      <filters blank="1">
        <filter val="0,02"/>
        <filter val="0,04"/>
        <filter val="0,28"/>
        <filter val="0,52"/>
        <filter val="0,53"/>
        <filter val="1,00"/>
        <filter val="1,82"/>
        <filter val="123,00"/>
        <filter val="2,00"/>
        <filter val="201,40"/>
        <filter val="204,00"/>
        <filter val="4,00"/>
        <filter val="41,00"/>
        <filter val="6,00"/>
        <filter val="8,00"/>
      </filters>
    </filterColumn>
  </autoFilter>
  <mergeCells count="1478">
    <mergeCell ref="A5102:A5107"/>
    <mergeCell ref="B5102:B5107"/>
    <mergeCell ref="A5108:A5113"/>
    <mergeCell ref="B5108:B5113"/>
    <mergeCell ref="A5114:A5128"/>
    <mergeCell ref="B5114:B5128"/>
    <mergeCell ref="A5137:A5142"/>
    <mergeCell ref="B5137:B5142"/>
    <mergeCell ref="A5143:A5149"/>
    <mergeCell ref="B5143:B5149"/>
    <mergeCell ref="A5028:A5035"/>
    <mergeCell ref="B5028:B5035"/>
    <mergeCell ref="A5036:A5043"/>
    <mergeCell ref="B5036:B5043"/>
    <mergeCell ref="A5044:A5051"/>
    <mergeCell ref="B5044:B5051"/>
    <mergeCell ref="A5052:A5066"/>
    <mergeCell ref="B5052:B5066"/>
    <mergeCell ref="A5067:A5081"/>
    <mergeCell ref="B5067:B5081"/>
    <mergeCell ref="A5082:A5088"/>
    <mergeCell ref="B5082:B5088"/>
    <mergeCell ref="A5089:A5095"/>
    <mergeCell ref="B5089:B5095"/>
    <mergeCell ref="A5096:A5101"/>
    <mergeCell ref="B5096:B5101"/>
    <mergeCell ref="A5129:A5136"/>
    <mergeCell ref="B5129:B5136"/>
    <mergeCell ref="A4992:A4999"/>
    <mergeCell ref="B4992:B4999"/>
    <mergeCell ref="A5000:A5007"/>
    <mergeCell ref="B5000:B5007"/>
    <mergeCell ref="A5008:A5013"/>
    <mergeCell ref="B5008:B5013"/>
    <mergeCell ref="A5014:A5021"/>
    <mergeCell ref="B5014:B5021"/>
    <mergeCell ref="A5022:A5027"/>
    <mergeCell ref="B5022:B5027"/>
    <mergeCell ref="B134:B137"/>
    <mergeCell ref="A182:A188"/>
    <mergeCell ref="B182:B188"/>
    <mergeCell ref="A189:A195"/>
    <mergeCell ref="B189:B195"/>
    <mergeCell ref="A196:A199"/>
    <mergeCell ref="B196:B199"/>
    <mergeCell ref="A213:A217"/>
    <mergeCell ref="B213:B217"/>
    <mergeCell ref="A218:A222"/>
    <mergeCell ref="B218:B222"/>
    <mergeCell ref="A223:A226"/>
    <mergeCell ref="B223:B226"/>
    <mergeCell ref="A200:A203"/>
    <mergeCell ref="B200:B203"/>
    <mergeCell ref="A204:A208"/>
    <mergeCell ref="B160:B164"/>
    <mergeCell ref="A165:A169"/>
    <mergeCell ref="B165:B169"/>
    <mergeCell ref="A235:A238"/>
    <mergeCell ref="B235:B238"/>
    <mergeCell ref="A267:A274"/>
    <mergeCell ref="A97:A101"/>
    <mergeCell ref="B97:B101"/>
    <mergeCell ref="A102:A105"/>
    <mergeCell ref="B102:B105"/>
    <mergeCell ref="A106:A110"/>
    <mergeCell ref="B106:B110"/>
    <mergeCell ref="B69:B76"/>
    <mergeCell ref="A77:A81"/>
    <mergeCell ref="B77:B81"/>
    <mergeCell ref="A87:A91"/>
    <mergeCell ref="B87:B91"/>
    <mergeCell ref="A92:A96"/>
    <mergeCell ref="B92:B96"/>
    <mergeCell ref="A4970:A4975"/>
    <mergeCell ref="B4970:B4975"/>
    <mergeCell ref="A4976:A4983"/>
    <mergeCell ref="B4976:B4983"/>
    <mergeCell ref="A138:A142"/>
    <mergeCell ref="B138:B142"/>
    <mergeCell ref="A143:A147"/>
    <mergeCell ref="B143:B147"/>
    <mergeCell ref="A148:A152"/>
    <mergeCell ref="B148:B152"/>
    <mergeCell ref="A170:A173"/>
    <mergeCell ref="B170:B173"/>
    <mergeCell ref="A174:A177"/>
    <mergeCell ref="B174:B177"/>
    <mergeCell ref="A178:A181"/>
    <mergeCell ref="B178:B181"/>
    <mergeCell ref="A153:A159"/>
    <mergeCell ref="B153:B159"/>
    <mergeCell ref="A160:A164"/>
    <mergeCell ref="A6:A9"/>
    <mergeCell ref="B6:B9"/>
    <mergeCell ref="A10:A13"/>
    <mergeCell ref="B10:B13"/>
    <mergeCell ref="A14:A17"/>
    <mergeCell ref="B14:B17"/>
    <mergeCell ref="A47:A51"/>
    <mergeCell ref="B47:B51"/>
    <mergeCell ref="A52:A58"/>
    <mergeCell ref="B52:B58"/>
    <mergeCell ref="A59:A63"/>
    <mergeCell ref="B59:B63"/>
    <mergeCell ref="A33:A36"/>
    <mergeCell ref="B33:B36"/>
    <mergeCell ref="A37:A41"/>
    <mergeCell ref="A82:A86"/>
    <mergeCell ref="B82:B86"/>
    <mergeCell ref="A64:A68"/>
    <mergeCell ref="B64:B68"/>
    <mergeCell ref="A69:A76"/>
    <mergeCell ref="B37:B41"/>
    <mergeCell ref="A42:A46"/>
    <mergeCell ref="B42:B46"/>
    <mergeCell ref="A18:A22"/>
    <mergeCell ref="B18:B22"/>
    <mergeCell ref="A23:A27"/>
    <mergeCell ref="B23:B27"/>
    <mergeCell ref="A28:A32"/>
    <mergeCell ref="B28:B32"/>
    <mergeCell ref="A125:A129"/>
    <mergeCell ref="B125:B129"/>
    <mergeCell ref="A130:A133"/>
    <mergeCell ref="B130:B133"/>
    <mergeCell ref="A134:A137"/>
    <mergeCell ref="A111:A115"/>
    <mergeCell ref="B111:B115"/>
    <mergeCell ref="A116:A119"/>
    <mergeCell ref="B116:B119"/>
    <mergeCell ref="A120:A124"/>
    <mergeCell ref="B120:B124"/>
    <mergeCell ref="B204:B208"/>
    <mergeCell ref="A209:A212"/>
    <mergeCell ref="B209:B212"/>
    <mergeCell ref="A227:A230"/>
    <mergeCell ref="B227:B230"/>
    <mergeCell ref="A231:A234"/>
    <mergeCell ref="B231:B234"/>
    <mergeCell ref="B267:B274"/>
    <mergeCell ref="A275:A281"/>
    <mergeCell ref="B275:B281"/>
    <mergeCell ref="A282:A288"/>
    <mergeCell ref="B282:B288"/>
    <mergeCell ref="A239:A246"/>
    <mergeCell ref="B239:B246"/>
    <mergeCell ref="A247:A261"/>
    <mergeCell ref="B247:B261"/>
    <mergeCell ref="A262:A266"/>
    <mergeCell ref="B262:B266"/>
    <mergeCell ref="A289:A303"/>
    <mergeCell ref="B289:B303"/>
    <mergeCell ref="A304:A318"/>
    <mergeCell ref="B304:B318"/>
    <mergeCell ref="A319:A324"/>
    <mergeCell ref="B319:B324"/>
    <mergeCell ref="A364:A369"/>
    <mergeCell ref="B364:B369"/>
    <mergeCell ref="A370:A378"/>
    <mergeCell ref="B370:B378"/>
    <mergeCell ref="A379:A392"/>
    <mergeCell ref="B379:B392"/>
    <mergeCell ref="A325:A339"/>
    <mergeCell ref="B325:B339"/>
    <mergeCell ref="A340:A349"/>
    <mergeCell ref="B340:B349"/>
    <mergeCell ref="A350:A363"/>
    <mergeCell ref="B350:B363"/>
    <mergeCell ref="A393:A399"/>
    <mergeCell ref="B393:B399"/>
    <mergeCell ref="A400:A413"/>
    <mergeCell ref="B400:B413"/>
    <mergeCell ref="A414:A420"/>
    <mergeCell ref="B414:B420"/>
    <mergeCell ref="A609:A617"/>
    <mergeCell ref="B609:B617"/>
    <mergeCell ref="A564:A571"/>
    <mergeCell ref="B564:B571"/>
    <mergeCell ref="A572:A581"/>
    <mergeCell ref="B572:B581"/>
    <mergeCell ref="A445:A452"/>
    <mergeCell ref="B445:B452"/>
    <mergeCell ref="A453:A462"/>
    <mergeCell ref="B453:B462"/>
    <mergeCell ref="A463:A469"/>
    <mergeCell ref="B463:B469"/>
    <mergeCell ref="A421:A432"/>
    <mergeCell ref="B421:B432"/>
    <mergeCell ref="A433:A438"/>
    <mergeCell ref="B433:B438"/>
    <mergeCell ref="A439:A444"/>
    <mergeCell ref="B439:B444"/>
    <mergeCell ref="A470:A481"/>
    <mergeCell ref="B470:B481"/>
    <mergeCell ref="A482:A487"/>
    <mergeCell ref="B482:B487"/>
    <mergeCell ref="A488:A495"/>
    <mergeCell ref="B488:B495"/>
    <mergeCell ref="A640:A646"/>
    <mergeCell ref="B640:B646"/>
    <mergeCell ref="A647:A650"/>
    <mergeCell ref="B647:B650"/>
    <mergeCell ref="A651:A654"/>
    <mergeCell ref="B651:B654"/>
    <mergeCell ref="A516:A524"/>
    <mergeCell ref="B516:B524"/>
    <mergeCell ref="A525:A533"/>
    <mergeCell ref="B525:B533"/>
    <mergeCell ref="A534:A539"/>
    <mergeCell ref="B534:B539"/>
    <mergeCell ref="A496:A502"/>
    <mergeCell ref="B496:B502"/>
    <mergeCell ref="A503:A509"/>
    <mergeCell ref="B503:B509"/>
    <mergeCell ref="A510:A515"/>
    <mergeCell ref="B510:B515"/>
    <mergeCell ref="A618:A623"/>
    <mergeCell ref="B618:B623"/>
    <mergeCell ref="A624:A631"/>
    <mergeCell ref="B624:B631"/>
    <mergeCell ref="A540:A547"/>
    <mergeCell ref="B540:B547"/>
    <mergeCell ref="A548:A555"/>
    <mergeCell ref="B548:B555"/>
    <mergeCell ref="A556:A563"/>
    <mergeCell ref="B556:B563"/>
    <mergeCell ref="A591:A598"/>
    <mergeCell ref="B591:B598"/>
    <mergeCell ref="A599:A608"/>
    <mergeCell ref="B599:B608"/>
    <mergeCell ref="A737:A744"/>
    <mergeCell ref="B737:B744"/>
    <mergeCell ref="A745:A748"/>
    <mergeCell ref="B745:B748"/>
    <mergeCell ref="A749:A755"/>
    <mergeCell ref="B749:B755"/>
    <mergeCell ref="A582:A590"/>
    <mergeCell ref="B582:B590"/>
    <mergeCell ref="A724:A730"/>
    <mergeCell ref="B724:B730"/>
    <mergeCell ref="A731:A736"/>
    <mergeCell ref="B731:B736"/>
    <mergeCell ref="A689:A696"/>
    <mergeCell ref="B689:B696"/>
    <mergeCell ref="A697:A704"/>
    <mergeCell ref="B697:B704"/>
    <mergeCell ref="A705:A714"/>
    <mergeCell ref="B705:B714"/>
    <mergeCell ref="A667:A670"/>
    <mergeCell ref="B667:B670"/>
    <mergeCell ref="A671:A678"/>
    <mergeCell ref="B671:B678"/>
    <mergeCell ref="A679:A688"/>
    <mergeCell ref="B679:B688"/>
    <mergeCell ref="A632:A639"/>
    <mergeCell ref="B632:B639"/>
    <mergeCell ref="A655:A658"/>
    <mergeCell ref="B655:B658"/>
    <mergeCell ref="A659:A662"/>
    <mergeCell ref="B659:B662"/>
    <mergeCell ref="A663:A666"/>
    <mergeCell ref="B663:B666"/>
    <mergeCell ref="A715:A723"/>
    <mergeCell ref="B715:B723"/>
    <mergeCell ref="A846:A850"/>
    <mergeCell ref="B846:B850"/>
    <mergeCell ref="A851:A856"/>
    <mergeCell ref="B851:B856"/>
    <mergeCell ref="A857:A863"/>
    <mergeCell ref="B857:B863"/>
    <mergeCell ref="A828:A832"/>
    <mergeCell ref="B828:B832"/>
    <mergeCell ref="A833:A839"/>
    <mergeCell ref="B833:B839"/>
    <mergeCell ref="A840:A845"/>
    <mergeCell ref="B840:B845"/>
    <mergeCell ref="A815:A818"/>
    <mergeCell ref="B815:B818"/>
    <mergeCell ref="A819:A823"/>
    <mergeCell ref="B819:B823"/>
    <mergeCell ref="A824:A827"/>
    <mergeCell ref="B824:B827"/>
    <mergeCell ref="A784:A790"/>
    <mergeCell ref="B784:B790"/>
    <mergeCell ref="A791:A804"/>
    <mergeCell ref="B791:B804"/>
    <mergeCell ref="A805:A814"/>
    <mergeCell ref="B805:B814"/>
    <mergeCell ref="A756:A766"/>
    <mergeCell ref="B756:B766"/>
    <mergeCell ref="A767:A772"/>
    <mergeCell ref="B767:B772"/>
    <mergeCell ref="A773:A783"/>
    <mergeCell ref="B773:B783"/>
    <mergeCell ref="A904:A907"/>
    <mergeCell ref="B904:B907"/>
    <mergeCell ref="A908:A913"/>
    <mergeCell ref="B908:B913"/>
    <mergeCell ref="A914:A922"/>
    <mergeCell ref="B914:B922"/>
    <mergeCell ref="A885:A891"/>
    <mergeCell ref="B885:B891"/>
    <mergeCell ref="A892:A896"/>
    <mergeCell ref="B892:B896"/>
    <mergeCell ref="A897:A903"/>
    <mergeCell ref="B897:B903"/>
    <mergeCell ref="A864:A869"/>
    <mergeCell ref="B864:B869"/>
    <mergeCell ref="A870:A877"/>
    <mergeCell ref="B870:B877"/>
    <mergeCell ref="A878:A884"/>
    <mergeCell ref="B878:B884"/>
    <mergeCell ref="A967:A973"/>
    <mergeCell ref="B967:B973"/>
    <mergeCell ref="A974:A980"/>
    <mergeCell ref="B974:B980"/>
    <mergeCell ref="A981:A991"/>
    <mergeCell ref="B981:B991"/>
    <mergeCell ref="A948:A953"/>
    <mergeCell ref="B948:B953"/>
    <mergeCell ref="A954:A959"/>
    <mergeCell ref="B954:B959"/>
    <mergeCell ref="A960:A966"/>
    <mergeCell ref="B960:B966"/>
    <mergeCell ref="A923:A929"/>
    <mergeCell ref="B923:B929"/>
    <mergeCell ref="A930:A938"/>
    <mergeCell ref="B930:B938"/>
    <mergeCell ref="A939:A947"/>
    <mergeCell ref="B939:B947"/>
    <mergeCell ref="A1037:A1045"/>
    <mergeCell ref="B1037:B1045"/>
    <mergeCell ref="A1046:A1052"/>
    <mergeCell ref="B1046:B1052"/>
    <mergeCell ref="A1053:A1059"/>
    <mergeCell ref="B1053:B1059"/>
    <mergeCell ref="A1013:A1021"/>
    <mergeCell ref="B1013:B1021"/>
    <mergeCell ref="A1022:A1026"/>
    <mergeCell ref="B1022:B1026"/>
    <mergeCell ref="A1027:A1036"/>
    <mergeCell ref="B1027:B1036"/>
    <mergeCell ref="A992:A1002"/>
    <mergeCell ref="B992:B1002"/>
    <mergeCell ref="A1003:A1007"/>
    <mergeCell ref="B1003:B1007"/>
    <mergeCell ref="A1008:A1012"/>
    <mergeCell ref="B1008:B1012"/>
    <mergeCell ref="A1109:A1116"/>
    <mergeCell ref="B1109:B1116"/>
    <mergeCell ref="A1117:A1121"/>
    <mergeCell ref="B1117:B1121"/>
    <mergeCell ref="A1122:A1126"/>
    <mergeCell ref="B1122:B1126"/>
    <mergeCell ref="A1083:A1090"/>
    <mergeCell ref="B1083:B1090"/>
    <mergeCell ref="A1091:A1098"/>
    <mergeCell ref="B1091:B1098"/>
    <mergeCell ref="A1099:A1108"/>
    <mergeCell ref="B1099:B1108"/>
    <mergeCell ref="A1060:A1066"/>
    <mergeCell ref="B1060:B1066"/>
    <mergeCell ref="A1067:A1073"/>
    <mergeCell ref="B1067:B1073"/>
    <mergeCell ref="A1074:A1082"/>
    <mergeCell ref="B1074:B1082"/>
    <mergeCell ref="A1166:A1172"/>
    <mergeCell ref="B1166:B1172"/>
    <mergeCell ref="A1173:A1179"/>
    <mergeCell ref="B1173:B1179"/>
    <mergeCell ref="A1180:A1186"/>
    <mergeCell ref="B1180:B1186"/>
    <mergeCell ref="A1145:A1151"/>
    <mergeCell ref="B1145:B1151"/>
    <mergeCell ref="A1152:A1158"/>
    <mergeCell ref="B1152:B1158"/>
    <mergeCell ref="A1159:A1165"/>
    <mergeCell ref="B1159:B1165"/>
    <mergeCell ref="A1127:A1132"/>
    <mergeCell ref="B1127:B1132"/>
    <mergeCell ref="A1133:A1137"/>
    <mergeCell ref="B1133:B1137"/>
    <mergeCell ref="A1138:A1144"/>
    <mergeCell ref="B1138:B1144"/>
    <mergeCell ref="A1229:A1235"/>
    <mergeCell ref="B1229:B1235"/>
    <mergeCell ref="A1236:A1242"/>
    <mergeCell ref="B1236:B1242"/>
    <mergeCell ref="A1243:A1249"/>
    <mergeCell ref="B1243:B1249"/>
    <mergeCell ref="A1208:A1214"/>
    <mergeCell ref="B1208:B1214"/>
    <mergeCell ref="A1215:A1221"/>
    <mergeCell ref="B1215:B1221"/>
    <mergeCell ref="A1222:A1228"/>
    <mergeCell ref="B1222:B1228"/>
    <mergeCell ref="A1187:A1193"/>
    <mergeCell ref="B1187:B1193"/>
    <mergeCell ref="A1194:A1200"/>
    <mergeCell ref="B1194:B1200"/>
    <mergeCell ref="A1201:A1207"/>
    <mergeCell ref="B1201:B1207"/>
    <mergeCell ref="A1291:A1297"/>
    <mergeCell ref="B1291:B1297"/>
    <mergeCell ref="A1298:A1304"/>
    <mergeCell ref="B1298:B1304"/>
    <mergeCell ref="A1305:A1312"/>
    <mergeCell ref="B1305:B1312"/>
    <mergeCell ref="A1271:A1276"/>
    <mergeCell ref="B1271:B1276"/>
    <mergeCell ref="A1277:A1283"/>
    <mergeCell ref="B1277:B1283"/>
    <mergeCell ref="A1284:A1290"/>
    <mergeCell ref="B1284:B1290"/>
    <mergeCell ref="A1250:A1256"/>
    <mergeCell ref="B1250:B1256"/>
    <mergeCell ref="A1257:A1263"/>
    <mergeCell ref="B1257:B1263"/>
    <mergeCell ref="A1264:A1270"/>
    <mergeCell ref="B1264:B1270"/>
    <mergeCell ref="A1352:A1357"/>
    <mergeCell ref="B1352:B1357"/>
    <mergeCell ref="A1358:A1364"/>
    <mergeCell ref="B1358:B1364"/>
    <mergeCell ref="A1365:A1370"/>
    <mergeCell ref="B1365:B1370"/>
    <mergeCell ref="A1333:A1338"/>
    <mergeCell ref="B1333:B1338"/>
    <mergeCell ref="A1339:A1344"/>
    <mergeCell ref="B1339:B1344"/>
    <mergeCell ref="A1345:A1351"/>
    <mergeCell ref="B1345:B1351"/>
    <mergeCell ref="A1313:A1321"/>
    <mergeCell ref="B1313:B1321"/>
    <mergeCell ref="A1322:A1326"/>
    <mergeCell ref="B1322:B1326"/>
    <mergeCell ref="A1327:A1332"/>
    <mergeCell ref="B1327:B1332"/>
    <mergeCell ref="A1408:A1422"/>
    <mergeCell ref="B1408:B1422"/>
    <mergeCell ref="A1423:A1437"/>
    <mergeCell ref="B1423:B1437"/>
    <mergeCell ref="A1438:A1452"/>
    <mergeCell ref="B1438:B1452"/>
    <mergeCell ref="A1389:A1394"/>
    <mergeCell ref="B1389:B1394"/>
    <mergeCell ref="A1395:A1400"/>
    <mergeCell ref="B1395:B1400"/>
    <mergeCell ref="A1401:A1407"/>
    <mergeCell ref="B1401:B1407"/>
    <mergeCell ref="A1371:A1376"/>
    <mergeCell ref="B1371:B1376"/>
    <mergeCell ref="A1377:A1382"/>
    <mergeCell ref="B1377:B1382"/>
    <mergeCell ref="A1383:A1388"/>
    <mergeCell ref="B1383:B1388"/>
    <mergeCell ref="A1529:A1536"/>
    <mergeCell ref="B1529:B1536"/>
    <mergeCell ref="A1537:A1544"/>
    <mergeCell ref="B1537:B1544"/>
    <mergeCell ref="A1545:A1552"/>
    <mergeCell ref="B1545:B1552"/>
    <mergeCell ref="A1498:A1512"/>
    <mergeCell ref="B1498:B1512"/>
    <mergeCell ref="A1513:A1520"/>
    <mergeCell ref="B1513:B1520"/>
    <mergeCell ref="A1521:A1528"/>
    <mergeCell ref="B1521:B1528"/>
    <mergeCell ref="A1453:A1467"/>
    <mergeCell ref="B1453:B1467"/>
    <mergeCell ref="A1468:A1482"/>
    <mergeCell ref="B1468:B1482"/>
    <mergeCell ref="A1483:A1497"/>
    <mergeCell ref="B1483:B1497"/>
    <mergeCell ref="A1602:A1607"/>
    <mergeCell ref="B1602:B1607"/>
    <mergeCell ref="A1608:A1613"/>
    <mergeCell ref="B1608:B1613"/>
    <mergeCell ref="A1614:A1620"/>
    <mergeCell ref="B1614:B1620"/>
    <mergeCell ref="A1574:A1580"/>
    <mergeCell ref="B1574:B1580"/>
    <mergeCell ref="A1581:A1595"/>
    <mergeCell ref="B1581:B1595"/>
    <mergeCell ref="A1596:A1601"/>
    <mergeCell ref="B1596:B1601"/>
    <mergeCell ref="A1553:A1559"/>
    <mergeCell ref="B1553:B1559"/>
    <mergeCell ref="A1560:A1566"/>
    <mergeCell ref="B1560:B1566"/>
    <mergeCell ref="A1567:A1573"/>
    <mergeCell ref="B1567:B1573"/>
    <mergeCell ref="A1655:A1660"/>
    <mergeCell ref="B1655:B1660"/>
    <mergeCell ref="A1661:A1666"/>
    <mergeCell ref="B1661:B1666"/>
    <mergeCell ref="A1667:A1671"/>
    <mergeCell ref="B1667:B1671"/>
    <mergeCell ref="A1638:A1642"/>
    <mergeCell ref="B1638:B1642"/>
    <mergeCell ref="A1643:A1648"/>
    <mergeCell ref="B1643:B1648"/>
    <mergeCell ref="A1649:A1654"/>
    <mergeCell ref="B1649:B1654"/>
    <mergeCell ref="A1621:A1625"/>
    <mergeCell ref="B1621:B1625"/>
    <mergeCell ref="A1626:A1631"/>
    <mergeCell ref="B1626:B1631"/>
    <mergeCell ref="A1632:A1637"/>
    <mergeCell ref="B1632:B1637"/>
    <mergeCell ref="A1708:A1715"/>
    <mergeCell ref="B1708:B1715"/>
    <mergeCell ref="A1716:A1726"/>
    <mergeCell ref="B1716:B1726"/>
    <mergeCell ref="A1727:A1737"/>
    <mergeCell ref="B1727:B1737"/>
    <mergeCell ref="A1688:A1694"/>
    <mergeCell ref="B1688:B1694"/>
    <mergeCell ref="A1695:A1701"/>
    <mergeCell ref="B1695:B1701"/>
    <mergeCell ref="A1702:A1707"/>
    <mergeCell ref="B1702:B1707"/>
    <mergeCell ref="A1672:A1676"/>
    <mergeCell ref="B1672:B1676"/>
    <mergeCell ref="A1677:A1681"/>
    <mergeCell ref="B1677:B1681"/>
    <mergeCell ref="A1682:A1687"/>
    <mergeCell ref="B1682:B1687"/>
    <mergeCell ref="A1788:A1794"/>
    <mergeCell ref="B1788:B1794"/>
    <mergeCell ref="A1795:A1801"/>
    <mergeCell ref="B1795:B1801"/>
    <mergeCell ref="A1802:A1808"/>
    <mergeCell ref="B1802:B1808"/>
    <mergeCell ref="A1767:A1773"/>
    <mergeCell ref="B1767:B1773"/>
    <mergeCell ref="A1774:A1780"/>
    <mergeCell ref="B1774:B1780"/>
    <mergeCell ref="A1781:A1787"/>
    <mergeCell ref="B1781:B1787"/>
    <mergeCell ref="A1738:A1748"/>
    <mergeCell ref="B1738:B1748"/>
    <mergeCell ref="A1749:A1759"/>
    <mergeCell ref="B1749:B1759"/>
    <mergeCell ref="A1760:A1766"/>
    <mergeCell ref="B1760:B1766"/>
    <mergeCell ref="A1845:A1850"/>
    <mergeCell ref="B1845:B1850"/>
    <mergeCell ref="A1851:A1856"/>
    <mergeCell ref="B1851:B1856"/>
    <mergeCell ref="A1857:A1862"/>
    <mergeCell ref="B1857:B1862"/>
    <mergeCell ref="A1826:A1831"/>
    <mergeCell ref="B1826:B1831"/>
    <mergeCell ref="A1832:A1837"/>
    <mergeCell ref="B1832:B1837"/>
    <mergeCell ref="A1838:A1844"/>
    <mergeCell ref="B1838:B1844"/>
    <mergeCell ref="A1809:A1815"/>
    <mergeCell ref="B1809:B1815"/>
    <mergeCell ref="A1816:A1820"/>
    <mergeCell ref="B1816:B1820"/>
    <mergeCell ref="A1821:A1825"/>
    <mergeCell ref="B1821:B1825"/>
    <mergeCell ref="A1899:A1904"/>
    <mergeCell ref="B1899:B1904"/>
    <mergeCell ref="A1905:A1910"/>
    <mergeCell ref="B1905:B1910"/>
    <mergeCell ref="A1911:A1916"/>
    <mergeCell ref="B1911:B1916"/>
    <mergeCell ref="A1881:A1886"/>
    <mergeCell ref="B1881:B1886"/>
    <mergeCell ref="A1887:A1892"/>
    <mergeCell ref="B1887:B1892"/>
    <mergeCell ref="A1893:A1898"/>
    <mergeCell ref="B1893:B1898"/>
    <mergeCell ref="A1863:A1868"/>
    <mergeCell ref="B1863:B1868"/>
    <mergeCell ref="A1869:A1874"/>
    <mergeCell ref="B1869:B1874"/>
    <mergeCell ref="A1875:A1880"/>
    <mergeCell ref="B1875:B1880"/>
    <mergeCell ref="A1948:A1952"/>
    <mergeCell ref="B1948:B1952"/>
    <mergeCell ref="A1953:A1958"/>
    <mergeCell ref="B1953:B1958"/>
    <mergeCell ref="A1959:A1964"/>
    <mergeCell ref="B1959:B1964"/>
    <mergeCell ref="A1932:A1937"/>
    <mergeCell ref="B1932:B1937"/>
    <mergeCell ref="A1938:A1942"/>
    <mergeCell ref="B1938:B1942"/>
    <mergeCell ref="A1943:A1947"/>
    <mergeCell ref="B1943:B1947"/>
    <mergeCell ref="A1917:A1921"/>
    <mergeCell ref="B1917:B1921"/>
    <mergeCell ref="A1922:A1926"/>
    <mergeCell ref="B1922:B1926"/>
    <mergeCell ref="A1927:A1931"/>
    <mergeCell ref="B1927:B1931"/>
    <mergeCell ref="A2009:A2015"/>
    <mergeCell ref="B2009:B2015"/>
    <mergeCell ref="A2016:A2022"/>
    <mergeCell ref="B2016:B2022"/>
    <mergeCell ref="A2023:A2028"/>
    <mergeCell ref="B2023:B2028"/>
    <mergeCell ref="A1987:A1994"/>
    <mergeCell ref="B1987:B1994"/>
    <mergeCell ref="A1995:A2001"/>
    <mergeCell ref="B1995:B2001"/>
    <mergeCell ref="A2002:A2008"/>
    <mergeCell ref="B2002:B2008"/>
    <mergeCell ref="A1965:A1971"/>
    <mergeCell ref="B1965:B1971"/>
    <mergeCell ref="A1972:A1978"/>
    <mergeCell ref="B1972:B1978"/>
    <mergeCell ref="A1979:A1986"/>
    <mergeCell ref="B1979:B1986"/>
    <mergeCell ref="A2077:A2084"/>
    <mergeCell ref="B2077:B2084"/>
    <mergeCell ref="A2085:A2092"/>
    <mergeCell ref="B2085:B2092"/>
    <mergeCell ref="A2093:A2100"/>
    <mergeCell ref="B2093:B2100"/>
    <mergeCell ref="A2053:A2060"/>
    <mergeCell ref="B2053:B2060"/>
    <mergeCell ref="A2061:A2068"/>
    <mergeCell ref="B2061:B2068"/>
    <mergeCell ref="A2069:A2076"/>
    <mergeCell ref="B2069:B2076"/>
    <mergeCell ref="A2029:A2036"/>
    <mergeCell ref="B2029:B2036"/>
    <mergeCell ref="A2037:A2044"/>
    <mergeCell ref="B2037:B2044"/>
    <mergeCell ref="A2045:A2052"/>
    <mergeCell ref="B2045:B2052"/>
    <mergeCell ref="A2141:A2146"/>
    <mergeCell ref="B2141:B2146"/>
    <mergeCell ref="A2147:A2154"/>
    <mergeCell ref="B2147:B2154"/>
    <mergeCell ref="A2155:A2162"/>
    <mergeCell ref="B2155:B2162"/>
    <mergeCell ref="A2123:A2128"/>
    <mergeCell ref="B2123:B2128"/>
    <mergeCell ref="A2129:A2134"/>
    <mergeCell ref="B2129:B2134"/>
    <mergeCell ref="A2135:A2140"/>
    <mergeCell ref="B2135:B2140"/>
    <mergeCell ref="A2101:A2108"/>
    <mergeCell ref="B2101:B2108"/>
    <mergeCell ref="A2109:A2116"/>
    <mergeCell ref="B2109:B2116"/>
    <mergeCell ref="A2117:A2122"/>
    <mergeCell ref="B2117:B2122"/>
    <mergeCell ref="A2211:A2215"/>
    <mergeCell ref="B2211:B2215"/>
    <mergeCell ref="A2216:A2222"/>
    <mergeCell ref="B2216:B2222"/>
    <mergeCell ref="A2223:A2228"/>
    <mergeCell ref="B2223:B2228"/>
    <mergeCell ref="A2187:A2194"/>
    <mergeCell ref="B2187:B2194"/>
    <mergeCell ref="A2195:A2202"/>
    <mergeCell ref="B2195:B2202"/>
    <mergeCell ref="A2203:A2210"/>
    <mergeCell ref="B2203:B2210"/>
    <mergeCell ref="A2163:A2170"/>
    <mergeCell ref="B2163:B2170"/>
    <mergeCell ref="A2171:A2178"/>
    <mergeCell ref="B2171:B2178"/>
    <mergeCell ref="A2179:A2186"/>
    <mergeCell ref="B2179:B2186"/>
    <mergeCell ref="A2287:A2298"/>
    <mergeCell ref="B2287:B2298"/>
    <mergeCell ref="A2299:A2310"/>
    <mergeCell ref="B2299:B2310"/>
    <mergeCell ref="A2311:A2322"/>
    <mergeCell ref="B2311:B2322"/>
    <mergeCell ref="A2257:A2262"/>
    <mergeCell ref="B2257:B2262"/>
    <mergeCell ref="A2263:A2274"/>
    <mergeCell ref="B2263:B2274"/>
    <mergeCell ref="A2275:A2286"/>
    <mergeCell ref="B2275:B2286"/>
    <mergeCell ref="A2229:A2234"/>
    <mergeCell ref="B2229:B2234"/>
    <mergeCell ref="A2235:A2240"/>
    <mergeCell ref="B2235:B2240"/>
    <mergeCell ref="A2241:A2256"/>
    <mergeCell ref="B2241:B2256"/>
    <mergeCell ref="A2361:A2365"/>
    <mergeCell ref="B2361:B2365"/>
    <mergeCell ref="A2366:A2370"/>
    <mergeCell ref="B2366:B2370"/>
    <mergeCell ref="A2371:A2375"/>
    <mergeCell ref="B2371:B2375"/>
    <mergeCell ref="A2343:A2348"/>
    <mergeCell ref="B2343:B2348"/>
    <mergeCell ref="A2349:A2354"/>
    <mergeCell ref="B2349:B2354"/>
    <mergeCell ref="A2355:A2360"/>
    <mergeCell ref="B2355:B2360"/>
    <mergeCell ref="A2323:A2329"/>
    <mergeCell ref="B2323:B2329"/>
    <mergeCell ref="A2330:A2336"/>
    <mergeCell ref="B2330:B2336"/>
    <mergeCell ref="A2337:A2342"/>
    <mergeCell ref="B2337:B2342"/>
    <mergeCell ref="A2397:A2402"/>
    <mergeCell ref="B2397:B2402"/>
    <mergeCell ref="A2403:A2409"/>
    <mergeCell ref="B2403:B2409"/>
    <mergeCell ref="A2410:A2415"/>
    <mergeCell ref="B2410:B2415"/>
    <mergeCell ref="A2376:A2381"/>
    <mergeCell ref="B2376:B2381"/>
    <mergeCell ref="A2382:A2389"/>
    <mergeCell ref="B2382:B2389"/>
    <mergeCell ref="A2390:A2396"/>
    <mergeCell ref="B2390:B2396"/>
    <mergeCell ref="A2416:A2419"/>
    <mergeCell ref="B2416:B2419"/>
    <mergeCell ref="A2420:A2423"/>
    <mergeCell ref="B2420:B2423"/>
    <mergeCell ref="A2424:A2427"/>
    <mergeCell ref="B2424:B2427"/>
    <mergeCell ref="A2428:A2431"/>
    <mergeCell ref="B2428:B2431"/>
    <mergeCell ref="A2456:A2459"/>
    <mergeCell ref="B2456:B2459"/>
    <mergeCell ref="A2576:A2579"/>
    <mergeCell ref="B2576:B2579"/>
    <mergeCell ref="A2432:A2435"/>
    <mergeCell ref="B2432:B2435"/>
    <mergeCell ref="A2436:A2439"/>
    <mergeCell ref="B2436:B2439"/>
    <mergeCell ref="A2440:A2443"/>
    <mergeCell ref="B2440:B2443"/>
    <mergeCell ref="A2444:A2447"/>
    <mergeCell ref="B2444:B2447"/>
    <mergeCell ref="A2448:A2451"/>
    <mergeCell ref="B2448:B2451"/>
    <mergeCell ref="A2452:A2455"/>
    <mergeCell ref="B2452:B2455"/>
    <mergeCell ref="A2460:A2463"/>
    <mergeCell ref="B2460:B2463"/>
    <mergeCell ref="A2504:A2507"/>
    <mergeCell ref="B2504:B2507"/>
    <mergeCell ref="A2560:A2563"/>
    <mergeCell ref="B2560:B2563"/>
    <mergeCell ref="A2564:A2567"/>
    <mergeCell ref="B2564:B2567"/>
    <mergeCell ref="A2468:A2471"/>
    <mergeCell ref="B2468:B2471"/>
    <mergeCell ref="A2472:A2475"/>
    <mergeCell ref="B2472:B2475"/>
    <mergeCell ref="A2636:A2639"/>
    <mergeCell ref="B2636:B2639"/>
    <mergeCell ref="A2612:A2619"/>
    <mergeCell ref="B2612:B2619"/>
    <mergeCell ref="A2620:A2623"/>
    <mergeCell ref="B2620:B2623"/>
    <mergeCell ref="A2624:A2627"/>
    <mergeCell ref="B2624:B2627"/>
    <mergeCell ref="A2592:A2595"/>
    <mergeCell ref="B2592:B2595"/>
    <mergeCell ref="A2596:A2603"/>
    <mergeCell ref="B2596:B2603"/>
    <mergeCell ref="A2604:A2611"/>
    <mergeCell ref="B2604:B2611"/>
    <mergeCell ref="A2580:A2583"/>
    <mergeCell ref="B2580:B2583"/>
    <mergeCell ref="A2584:A2587"/>
    <mergeCell ref="B2584:B2587"/>
    <mergeCell ref="A2588:A2591"/>
    <mergeCell ref="B2588:B2591"/>
    <mergeCell ref="A2706:A2711"/>
    <mergeCell ref="B2706:B2711"/>
    <mergeCell ref="A2712:A2717"/>
    <mergeCell ref="B2712:B2717"/>
    <mergeCell ref="A2718:A2723"/>
    <mergeCell ref="B2718:B2723"/>
    <mergeCell ref="A2688:A2693"/>
    <mergeCell ref="B2688:B2693"/>
    <mergeCell ref="A2694:A2699"/>
    <mergeCell ref="B2694:B2699"/>
    <mergeCell ref="A2700:A2705"/>
    <mergeCell ref="B2700:B2705"/>
    <mergeCell ref="A2668:A2671"/>
    <mergeCell ref="B2668:B2671"/>
    <mergeCell ref="A2676:A2681"/>
    <mergeCell ref="B2676:B2681"/>
    <mergeCell ref="A2682:A2687"/>
    <mergeCell ref="B2682:B2687"/>
    <mergeCell ref="A2672:A2675"/>
    <mergeCell ref="B2672:B2675"/>
    <mergeCell ref="A2773:A2777"/>
    <mergeCell ref="B2773:B2777"/>
    <mergeCell ref="A2778:A2782"/>
    <mergeCell ref="B2778:B2782"/>
    <mergeCell ref="A2783:A2787"/>
    <mergeCell ref="B2783:B2787"/>
    <mergeCell ref="A2742:A2748"/>
    <mergeCell ref="B2742:B2748"/>
    <mergeCell ref="A2749:A2755"/>
    <mergeCell ref="B2749:B2755"/>
    <mergeCell ref="A2766:A2772"/>
    <mergeCell ref="B2766:B2772"/>
    <mergeCell ref="A2756:A2760"/>
    <mergeCell ref="B2756:B2760"/>
    <mergeCell ref="A2761:A2765"/>
    <mergeCell ref="B2761:B2765"/>
    <mergeCell ref="A2724:A2729"/>
    <mergeCell ref="B2724:B2729"/>
    <mergeCell ref="A2730:A2735"/>
    <mergeCell ref="B2730:B2735"/>
    <mergeCell ref="A2736:A2741"/>
    <mergeCell ref="B2736:B2741"/>
    <mergeCell ref="A2820:A2824"/>
    <mergeCell ref="B2820:B2824"/>
    <mergeCell ref="A2825:A2829"/>
    <mergeCell ref="B2825:B2829"/>
    <mergeCell ref="A2830:A2834"/>
    <mergeCell ref="B2830:B2834"/>
    <mergeCell ref="A2805:A2809"/>
    <mergeCell ref="B2805:B2809"/>
    <mergeCell ref="A2810:A2814"/>
    <mergeCell ref="B2810:B2814"/>
    <mergeCell ref="A2815:A2819"/>
    <mergeCell ref="B2815:B2819"/>
    <mergeCell ref="A2788:A2794"/>
    <mergeCell ref="B2788:B2794"/>
    <mergeCell ref="A2795:A2799"/>
    <mergeCell ref="B2795:B2799"/>
    <mergeCell ref="A2800:A2804"/>
    <mergeCell ref="B2800:B2804"/>
    <mergeCell ref="A2877:A2884"/>
    <mergeCell ref="B2877:B2884"/>
    <mergeCell ref="A2885:A2892"/>
    <mergeCell ref="B2885:B2892"/>
    <mergeCell ref="A2893:A2900"/>
    <mergeCell ref="B2893:B2900"/>
    <mergeCell ref="A2856:A2860"/>
    <mergeCell ref="B2856:B2860"/>
    <mergeCell ref="A2861:A2868"/>
    <mergeCell ref="B2861:B2868"/>
    <mergeCell ref="A2869:A2876"/>
    <mergeCell ref="B2869:B2876"/>
    <mergeCell ref="A2835:A2845"/>
    <mergeCell ref="B2835:B2845"/>
    <mergeCell ref="A2846:A2850"/>
    <mergeCell ref="B2846:B2850"/>
    <mergeCell ref="A2851:A2855"/>
    <mergeCell ref="B2851:B2855"/>
    <mergeCell ref="A2931:A2935"/>
    <mergeCell ref="B2931:B2935"/>
    <mergeCell ref="A2936:A2940"/>
    <mergeCell ref="B2936:B2940"/>
    <mergeCell ref="A2941:A2945"/>
    <mergeCell ref="B2941:B2945"/>
    <mergeCell ref="A2916:A2920"/>
    <mergeCell ref="B2916:B2920"/>
    <mergeCell ref="A2921:A2925"/>
    <mergeCell ref="B2921:B2925"/>
    <mergeCell ref="A2926:A2930"/>
    <mergeCell ref="B2926:B2930"/>
    <mergeCell ref="A2901:A2905"/>
    <mergeCell ref="B2901:B2905"/>
    <mergeCell ref="A2906:A2910"/>
    <mergeCell ref="B2906:B2910"/>
    <mergeCell ref="A2911:A2915"/>
    <mergeCell ref="B2911:B2915"/>
    <mergeCell ref="A2978:A2982"/>
    <mergeCell ref="B2978:B2982"/>
    <mergeCell ref="A2983:A2987"/>
    <mergeCell ref="B2983:B2987"/>
    <mergeCell ref="A2988:A2992"/>
    <mergeCell ref="B2988:B2992"/>
    <mergeCell ref="A2963:A2967"/>
    <mergeCell ref="B2963:B2967"/>
    <mergeCell ref="A2968:A2972"/>
    <mergeCell ref="B2968:B2972"/>
    <mergeCell ref="A2973:A2977"/>
    <mergeCell ref="B2973:B2977"/>
    <mergeCell ref="A2946:A2950"/>
    <mergeCell ref="B2946:B2950"/>
    <mergeCell ref="A2951:A2957"/>
    <mergeCell ref="B2951:B2957"/>
    <mergeCell ref="A2958:A2962"/>
    <mergeCell ref="B2958:B2962"/>
    <mergeCell ref="A3028:A3034"/>
    <mergeCell ref="B3028:B3034"/>
    <mergeCell ref="A3035:A3039"/>
    <mergeCell ref="B3035:B3039"/>
    <mergeCell ref="A3040:A3047"/>
    <mergeCell ref="B3040:B3047"/>
    <mergeCell ref="A3011:A3015"/>
    <mergeCell ref="B3011:B3015"/>
    <mergeCell ref="A3016:A3023"/>
    <mergeCell ref="B3016:B3023"/>
    <mergeCell ref="A3024:A3027"/>
    <mergeCell ref="B3024:B3027"/>
    <mergeCell ref="A2993:A2997"/>
    <mergeCell ref="B2993:B2997"/>
    <mergeCell ref="A2998:A3002"/>
    <mergeCell ref="B2998:B3002"/>
    <mergeCell ref="A3003:A3010"/>
    <mergeCell ref="B3003:B3010"/>
    <mergeCell ref="A3078:A3082"/>
    <mergeCell ref="B3078:B3082"/>
    <mergeCell ref="A3083:A3087"/>
    <mergeCell ref="B3083:B3087"/>
    <mergeCell ref="A3088:A3092"/>
    <mergeCell ref="B3088:B3092"/>
    <mergeCell ref="A3063:A3067"/>
    <mergeCell ref="B3063:B3067"/>
    <mergeCell ref="A3068:A3072"/>
    <mergeCell ref="B3068:B3072"/>
    <mergeCell ref="A3073:A3077"/>
    <mergeCell ref="B3073:B3077"/>
    <mergeCell ref="A3048:A3052"/>
    <mergeCell ref="B3048:B3052"/>
    <mergeCell ref="A3053:A3057"/>
    <mergeCell ref="B3053:B3057"/>
    <mergeCell ref="A3058:A3062"/>
    <mergeCell ref="B3058:B3062"/>
    <mergeCell ref="A3132:A3136"/>
    <mergeCell ref="B3132:B3136"/>
    <mergeCell ref="A3137:A3142"/>
    <mergeCell ref="B3137:B3142"/>
    <mergeCell ref="A3143:A3150"/>
    <mergeCell ref="B3143:B3150"/>
    <mergeCell ref="A3113:A3118"/>
    <mergeCell ref="B3113:B3118"/>
    <mergeCell ref="A3119:A3124"/>
    <mergeCell ref="B3119:B3124"/>
    <mergeCell ref="A3125:A3131"/>
    <mergeCell ref="B3125:B3131"/>
    <mergeCell ref="A3093:A3098"/>
    <mergeCell ref="B3093:B3098"/>
    <mergeCell ref="A3099:A3105"/>
    <mergeCell ref="B3099:B3105"/>
    <mergeCell ref="A3106:A3112"/>
    <mergeCell ref="B3106:B3112"/>
    <mergeCell ref="A3194:A3199"/>
    <mergeCell ref="B3194:B3199"/>
    <mergeCell ref="A3200:A3205"/>
    <mergeCell ref="B3200:B3205"/>
    <mergeCell ref="A3206:A3215"/>
    <mergeCell ref="B3206:B3215"/>
    <mergeCell ref="A3168:A3174"/>
    <mergeCell ref="B3168:B3174"/>
    <mergeCell ref="A3175:A3187"/>
    <mergeCell ref="B3175:B3187"/>
    <mergeCell ref="A3188:A3193"/>
    <mergeCell ref="B3188:B3193"/>
    <mergeCell ref="A3151:A3158"/>
    <mergeCell ref="B3151:B3158"/>
    <mergeCell ref="A3159:A3163"/>
    <mergeCell ref="B3159:B3163"/>
    <mergeCell ref="A3164:A3167"/>
    <mergeCell ref="B3164:B3167"/>
    <mergeCell ref="A3256:A3262"/>
    <mergeCell ref="B3256:B3262"/>
    <mergeCell ref="A3263:A3269"/>
    <mergeCell ref="B3263:B3269"/>
    <mergeCell ref="A3270:A3276"/>
    <mergeCell ref="B3270:B3276"/>
    <mergeCell ref="A3235:A3241"/>
    <mergeCell ref="B3235:B3241"/>
    <mergeCell ref="A3242:A3248"/>
    <mergeCell ref="B3242:B3248"/>
    <mergeCell ref="A3249:A3255"/>
    <mergeCell ref="B3249:B3255"/>
    <mergeCell ref="A3216:A3220"/>
    <mergeCell ref="B3216:B3220"/>
    <mergeCell ref="A3221:A3227"/>
    <mergeCell ref="B3221:B3227"/>
    <mergeCell ref="A3228:A3234"/>
    <mergeCell ref="B3228:B3234"/>
    <mergeCell ref="A3317:A3323"/>
    <mergeCell ref="B3317:B3323"/>
    <mergeCell ref="A3324:A3330"/>
    <mergeCell ref="B3324:B3330"/>
    <mergeCell ref="A3331:A3337"/>
    <mergeCell ref="B3331:B3337"/>
    <mergeCell ref="A3297:A3302"/>
    <mergeCell ref="B3297:B3302"/>
    <mergeCell ref="A3303:A3311"/>
    <mergeCell ref="B3303:B3311"/>
    <mergeCell ref="A3312:A3316"/>
    <mergeCell ref="B3312:B3316"/>
    <mergeCell ref="A3277:A3283"/>
    <mergeCell ref="B3277:B3283"/>
    <mergeCell ref="A3284:A3290"/>
    <mergeCell ref="B3284:B3290"/>
    <mergeCell ref="A3291:A3296"/>
    <mergeCell ref="B3291:B3296"/>
    <mergeCell ref="A3366:A3372"/>
    <mergeCell ref="B3366:B3372"/>
    <mergeCell ref="A3373:A3379"/>
    <mergeCell ref="B3373:B3379"/>
    <mergeCell ref="A3380:A3384"/>
    <mergeCell ref="B3380:B3384"/>
    <mergeCell ref="A3351:A3354"/>
    <mergeCell ref="B3351:B3354"/>
    <mergeCell ref="A3355:A3358"/>
    <mergeCell ref="B3355:B3358"/>
    <mergeCell ref="A3359:A3365"/>
    <mergeCell ref="B3359:B3365"/>
    <mergeCell ref="A3338:A3341"/>
    <mergeCell ref="B3338:B3341"/>
    <mergeCell ref="A3342:A3345"/>
    <mergeCell ref="B3342:B3345"/>
    <mergeCell ref="A3346:A3350"/>
    <mergeCell ref="B3346:B3350"/>
    <mergeCell ref="A3424:A3431"/>
    <mergeCell ref="B3424:B3431"/>
    <mergeCell ref="A3432:A3448"/>
    <mergeCell ref="B3432:B3448"/>
    <mergeCell ref="A3449:A3456"/>
    <mergeCell ref="B3449:B3456"/>
    <mergeCell ref="A3399:A3402"/>
    <mergeCell ref="B3399:B3402"/>
    <mergeCell ref="A3403:A3412"/>
    <mergeCell ref="B3403:B3412"/>
    <mergeCell ref="A3413:A3423"/>
    <mergeCell ref="B3413:B3423"/>
    <mergeCell ref="A3385:A3389"/>
    <mergeCell ref="B3385:B3389"/>
    <mergeCell ref="A3390:A3394"/>
    <mergeCell ref="B3390:B3394"/>
    <mergeCell ref="A3395:A3398"/>
    <mergeCell ref="B3395:B3398"/>
    <mergeCell ref="A3521:A3528"/>
    <mergeCell ref="B3521:B3528"/>
    <mergeCell ref="A3529:A3535"/>
    <mergeCell ref="B3529:B3535"/>
    <mergeCell ref="A3536:A3540"/>
    <mergeCell ref="B3536:B3540"/>
    <mergeCell ref="A3493:A3508"/>
    <mergeCell ref="B3493:B3508"/>
    <mergeCell ref="A3509:A3514"/>
    <mergeCell ref="B3509:B3514"/>
    <mergeCell ref="A3515:A3520"/>
    <mergeCell ref="B3515:B3520"/>
    <mergeCell ref="A3457:A3473"/>
    <mergeCell ref="B3457:B3473"/>
    <mergeCell ref="A3474:A3485"/>
    <mergeCell ref="B3474:B3485"/>
    <mergeCell ref="A3486:A3492"/>
    <mergeCell ref="B3486:B3492"/>
    <mergeCell ref="A3583:A3587"/>
    <mergeCell ref="B3583:B3587"/>
    <mergeCell ref="A3588:A3595"/>
    <mergeCell ref="B3588:B3595"/>
    <mergeCell ref="A3596:A3599"/>
    <mergeCell ref="B3596:B3599"/>
    <mergeCell ref="A3562:A3567"/>
    <mergeCell ref="B3562:B3567"/>
    <mergeCell ref="A3568:A3577"/>
    <mergeCell ref="B3568:B3577"/>
    <mergeCell ref="A3578:A3582"/>
    <mergeCell ref="B3578:B3582"/>
    <mergeCell ref="A3541:A3548"/>
    <mergeCell ref="B3541:B3548"/>
    <mergeCell ref="A3549:A3554"/>
    <mergeCell ref="B3549:B3554"/>
    <mergeCell ref="A3555:A3561"/>
    <mergeCell ref="B3555:B3561"/>
    <mergeCell ref="A3665:A3668"/>
    <mergeCell ref="B3665:B3668"/>
    <mergeCell ref="A3669:A3678"/>
    <mergeCell ref="B3669:B3678"/>
    <mergeCell ref="A3679:A3683"/>
    <mergeCell ref="B3679:B3683"/>
    <mergeCell ref="A3629:A3640"/>
    <mergeCell ref="B3629:B3640"/>
    <mergeCell ref="A3641:A3653"/>
    <mergeCell ref="B3641:B3653"/>
    <mergeCell ref="A3654:A3664"/>
    <mergeCell ref="B3654:B3664"/>
    <mergeCell ref="A3600:A3605"/>
    <mergeCell ref="B3600:B3605"/>
    <mergeCell ref="A3606:A3620"/>
    <mergeCell ref="B3606:B3620"/>
    <mergeCell ref="A3621:A3628"/>
    <mergeCell ref="B3621:B3628"/>
    <mergeCell ref="A3720:A3724"/>
    <mergeCell ref="B3720:B3724"/>
    <mergeCell ref="A3725:A3735"/>
    <mergeCell ref="B3725:B3735"/>
    <mergeCell ref="A3736:A3745"/>
    <mergeCell ref="B3736:B3745"/>
    <mergeCell ref="A3706:A3709"/>
    <mergeCell ref="B3706:B3709"/>
    <mergeCell ref="A3710:A3713"/>
    <mergeCell ref="B3710:B3713"/>
    <mergeCell ref="A3714:A3719"/>
    <mergeCell ref="B3714:B3719"/>
    <mergeCell ref="A3684:A3692"/>
    <mergeCell ref="B3684:B3692"/>
    <mergeCell ref="A3693:A3701"/>
    <mergeCell ref="B3693:B3701"/>
    <mergeCell ref="A3702:A3705"/>
    <mergeCell ref="B3702:B3705"/>
    <mergeCell ref="A3813:A3818"/>
    <mergeCell ref="B3813:B3818"/>
    <mergeCell ref="A3819:A3824"/>
    <mergeCell ref="B3819:B3824"/>
    <mergeCell ref="A3825:A3830"/>
    <mergeCell ref="B3825:B3830"/>
    <mergeCell ref="A3775:A3789"/>
    <mergeCell ref="B3775:B3789"/>
    <mergeCell ref="A3790:A3796"/>
    <mergeCell ref="B3790:B3796"/>
    <mergeCell ref="A3797:A3812"/>
    <mergeCell ref="B3797:B3812"/>
    <mergeCell ref="A3746:A3754"/>
    <mergeCell ref="B3746:B3754"/>
    <mergeCell ref="A3755:A3762"/>
    <mergeCell ref="B3755:B3762"/>
    <mergeCell ref="A3763:A3774"/>
    <mergeCell ref="B3763:B3774"/>
    <mergeCell ref="A3877:A3889"/>
    <mergeCell ref="B3877:B3889"/>
    <mergeCell ref="A3890:A3902"/>
    <mergeCell ref="B3890:B3902"/>
    <mergeCell ref="A3903:A3907"/>
    <mergeCell ref="B3903:B3907"/>
    <mergeCell ref="A3854:A3861"/>
    <mergeCell ref="B3854:B3861"/>
    <mergeCell ref="A3862:A3868"/>
    <mergeCell ref="B3862:B3868"/>
    <mergeCell ref="A3869:A3876"/>
    <mergeCell ref="B3869:B3876"/>
    <mergeCell ref="A3831:A3837"/>
    <mergeCell ref="B3831:B3837"/>
    <mergeCell ref="A3838:A3846"/>
    <mergeCell ref="B3838:B3846"/>
    <mergeCell ref="A3847:A3853"/>
    <mergeCell ref="B3847:B3853"/>
    <mergeCell ref="A3952:A3960"/>
    <mergeCell ref="B3952:B3960"/>
    <mergeCell ref="A3961:A3969"/>
    <mergeCell ref="B3961:B3969"/>
    <mergeCell ref="A3970:A3975"/>
    <mergeCell ref="B3970:B3975"/>
    <mergeCell ref="A3925:A3933"/>
    <mergeCell ref="B3925:B3933"/>
    <mergeCell ref="A3934:A3942"/>
    <mergeCell ref="B3934:B3942"/>
    <mergeCell ref="A3943:A3951"/>
    <mergeCell ref="B3943:B3951"/>
    <mergeCell ref="A3908:A3911"/>
    <mergeCell ref="B3908:B3911"/>
    <mergeCell ref="A3912:A3915"/>
    <mergeCell ref="B3912:B3915"/>
    <mergeCell ref="A3916:A3924"/>
    <mergeCell ref="B3916:B3924"/>
    <mergeCell ref="A4014:A4021"/>
    <mergeCell ref="B4014:B4021"/>
    <mergeCell ref="A4022:A4029"/>
    <mergeCell ref="B4022:B4029"/>
    <mergeCell ref="A4030:A4039"/>
    <mergeCell ref="B4030:B4039"/>
    <mergeCell ref="A3995:A3998"/>
    <mergeCell ref="B3995:B3998"/>
    <mergeCell ref="A3999:A4005"/>
    <mergeCell ref="B3999:B4005"/>
    <mergeCell ref="A4006:A4013"/>
    <mergeCell ref="B4006:B4013"/>
    <mergeCell ref="A3976:A3981"/>
    <mergeCell ref="B3976:B3981"/>
    <mergeCell ref="A3982:A3988"/>
    <mergeCell ref="B3982:B3988"/>
    <mergeCell ref="A3989:A3994"/>
    <mergeCell ref="B3989:B3994"/>
    <mergeCell ref="A4087:A4092"/>
    <mergeCell ref="B4087:B4092"/>
    <mergeCell ref="A4093:A4098"/>
    <mergeCell ref="B4093:B4098"/>
    <mergeCell ref="A4099:A4104"/>
    <mergeCell ref="B4099:B4104"/>
    <mergeCell ref="A4069:A4072"/>
    <mergeCell ref="B4069:B4072"/>
    <mergeCell ref="A4073:A4079"/>
    <mergeCell ref="B4073:B4079"/>
    <mergeCell ref="A4080:A4086"/>
    <mergeCell ref="B4080:B4086"/>
    <mergeCell ref="A4040:A4046"/>
    <mergeCell ref="B4040:B4046"/>
    <mergeCell ref="A4047:A4057"/>
    <mergeCell ref="B4047:B4057"/>
    <mergeCell ref="A4058:A4068"/>
    <mergeCell ref="B4058:B4068"/>
    <mergeCell ref="A4165:A4173"/>
    <mergeCell ref="B4165:B4173"/>
    <mergeCell ref="A4174:A4189"/>
    <mergeCell ref="B4174:B4189"/>
    <mergeCell ref="A4190:A4216"/>
    <mergeCell ref="B4190:B4216"/>
    <mergeCell ref="A4142:A4149"/>
    <mergeCell ref="B4142:B4149"/>
    <mergeCell ref="A4150:A4154"/>
    <mergeCell ref="B4150:B4154"/>
    <mergeCell ref="A4155:A4164"/>
    <mergeCell ref="B4155:B4164"/>
    <mergeCell ref="A4129:A4134"/>
    <mergeCell ref="B4129:B4134"/>
    <mergeCell ref="A4135:A4141"/>
    <mergeCell ref="B4135:B4141"/>
    <mergeCell ref="A4105:A4114"/>
    <mergeCell ref="B4105:B4114"/>
    <mergeCell ref="A4115:A4120"/>
    <mergeCell ref="B4115:B4120"/>
    <mergeCell ref="A4121:A4128"/>
    <mergeCell ref="B4121:B4128"/>
    <mergeCell ref="A4270:A4279"/>
    <mergeCell ref="B4270:B4279"/>
    <mergeCell ref="A4280:A4287"/>
    <mergeCell ref="B4280:B4287"/>
    <mergeCell ref="A4288:A4295"/>
    <mergeCell ref="B4288:B4295"/>
    <mergeCell ref="A4243:A4251"/>
    <mergeCell ref="B4243:B4251"/>
    <mergeCell ref="A4252:A4260"/>
    <mergeCell ref="B4252:B4260"/>
    <mergeCell ref="A4261:A4269"/>
    <mergeCell ref="B4261:B4269"/>
    <mergeCell ref="A4217:A4223"/>
    <mergeCell ref="B4217:B4223"/>
    <mergeCell ref="A4224:A4233"/>
    <mergeCell ref="B4224:B4233"/>
    <mergeCell ref="A4234:A4242"/>
    <mergeCell ref="B4234:B4242"/>
    <mergeCell ref="A4359:A4364"/>
    <mergeCell ref="B4359:B4364"/>
    <mergeCell ref="A4365:A4384"/>
    <mergeCell ref="B4365:B4384"/>
    <mergeCell ref="A4385:A4392"/>
    <mergeCell ref="B4385:B4392"/>
    <mergeCell ref="A4326:A4333"/>
    <mergeCell ref="B4326:B4333"/>
    <mergeCell ref="A4334:A4349"/>
    <mergeCell ref="B4334:B4349"/>
    <mergeCell ref="A4350:A4358"/>
    <mergeCell ref="B4350:B4358"/>
    <mergeCell ref="A4296:A4305"/>
    <mergeCell ref="B4296:B4305"/>
    <mergeCell ref="A4306:A4315"/>
    <mergeCell ref="B4306:B4315"/>
    <mergeCell ref="A4316:A4325"/>
    <mergeCell ref="B4316:B4325"/>
    <mergeCell ref="A4431:A4436"/>
    <mergeCell ref="B4431:B4436"/>
    <mergeCell ref="A4437:A4442"/>
    <mergeCell ref="B4437:B4442"/>
    <mergeCell ref="A4443:A4454"/>
    <mergeCell ref="B4443:B4454"/>
    <mergeCell ref="A4412:A4416"/>
    <mergeCell ref="B4412:B4416"/>
    <mergeCell ref="A4417:A4422"/>
    <mergeCell ref="B4417:B4422"/>
    <mergeCell ref="A4423:A4430"/>
    <mergeCell ref="B4423:B4430"/>
    <mergeCell ref="A4393:A4400"/>
    <mergeCell ref="B4393:B4400"/>
    <mergeCell ref="A4401:A4406"/>
    <mergeCell ref="B4401:B4406"/>
    <mergeCell ref="A4407:A4411"/>
    <mergeCell ref="B4407:B4411"/>
    <mergeCell ref="A4517:A4528"/>
    <mergeCell ref="B4517:B4528"/>
    <mergeCell ref="A4529:A4536"/>
    <mergeCell ref="B4529:B4536"/>
    <mergeCell ref="A4537:A4542"/>
    <mergeCell ref="B4537:B4542"/>
    <mergeCell ref="A4494:A4502"/>
    <mergeCell ref="B4494:B4502"/>
    <mergeCell ref="A4503:A4510"/>
    <mergeCell ref="B4503:B4510"/>
    <mergeCell ref="A4511:A4516"/>
    <mergeCell ref="B4511:B4516"/>
    <mergeCell ref="A4455:A4466"/>
    <mergeCell ref="B4455:B4466"/>
    <mergeCell ref="A4467:A4485"/>
    <mergeCell ref="B4467:B4485"/>
    <mergeCell ref="A4486:A4493"/>
    <mergeCell ref="B4486:B4493"/>
    <mergeCell ref="A4592:A4603"/>
    <mergeCell ref="B4592:B4603"/>
    <mergeCell ref="A4604:A4609"/>
    <mergeCell ref="B4604:B4609"/>
    <mergeCell ref="A4610:A4617"/>
    <mergeCell ref="B4610:B4617"/>
    <mergeCell ref="A4569:A4574"/>
    <mergeCell ref="B4569:B4574"/>
    <mergeCell ref="A4575:A4582"/>
    <mergeCell ref="B4575:B4582"/>
    <mergeCell ref="A4583:A4591"/>
    <mergeCell ref="B4583:B4591"/>
    <mergeCell ref="A4543:A4550"/>
    <mergeCell ref="B4543:B4550"/>
    <mergeCell ref="A4551:A4558"/>
    <mergeCell ref="B4551:B4558"/>
    <mergeCell ref="A4559:A4568"/>
    <mergeCell ref="B4559:B4568"/>
    <mergeCell ref="A4634:A4643"/>
    <mergeCell ref="B4634:B4643"/>
    <mergeCell ref="A4644:A4653"/>
    <mergeCell ref="B4644:B4653"/>
    <mergeCell ref="A4654:A4658"/>
    <mergeCell ref="B4654:B4658"/>
    <mergeCell ref="A4659:A4663"/>
    <mergeCell ref="B4659:B4663"/>
    <mergeCell ref="A4664:A4668"/>
    <mergeCell ref="B4664:B4668"/>
    <mergeCell ref="A4677:A4684"/>
    <mergeCell ref="B4677:B4684"/>
    <mergeCell ref="A4685:A4692"/>
    <mergeCell ref="B4685:B4692"/>
    <mergeCell ref="A4693:A4700"/>
    <mergeCell ref="B4693:B4700"/>
    <mergeCell ref="A4618:A4628"/>
    <mergeCell ref="B4618:B4628"/>
    <mergeCell ref="A4629:A4633"/>
    <mergeCell ref="B4629:B4633"/>
    <mergeCell ref="A4701:A4708"/>
    <mergeCell ref="B4701:B4708"/>
    <mergeCell ref="A4709:A4716"/>
    <mergeCell ref="B4709:B4716"/>
    <mergeCell ref="A4717:A4724"/>
    <mergeCell ref="B4717:B4724"/>
    <mergeCell ref="A4725:A4732"/>
    <mergeCell ref="B4725:B4732"/>
    <mergeCell ref="A4669:A4676"/>
    <mergeCell ref="B4669:B4676"/>
    <mergeCell ref="A4733:A4742"/>
    <mergeCell ref="B4733:B4742"/>
    <mergeCell ref="A4743:A4750"/>
    <mergeCell ref="B4743:B4750"/>
    <mergeCell ref="A4751:A4757"/>
    <mergeCell ref="B4751:B4757"/>
    <mergeCell ref="A4758:A4764"/>
    <mergeCell ref="B4758:B4764"/>
    <mergeCell ref="A4765:A4771"/>
    <mergeCell ref="B4765:B4771"/>
    <mergeCell ref="A4772:A4778"/>
    <mergeCell ref="B4772:B4778"/>
    <mergeCell ref="A4779:A4785"/>
    <mergeCell ref="B4779:B4785"/>
    <mergeCell ref="A4786:A4790"/>
    <mergeCell ref="B4786:B4790"/>
    <mergeCell ref="A4791:A4797"/>
    <mergeCell ref="B4791:B4797"/>
    <mergeCell ref="B4798:B4804"/>
    <mergeCell ref="A4798:A4804"/>
    <mergeCell ref="A4805:A4811"/>
    <mergeCell ref="B4805:B4811"/>
    <mergeCell ref="A4812:A4818"/>
    <mergeCell ref="B4812:B4818"/>
    <mergeCell ref="A4819:A4823"/>
    <mergeCell ref="B4819:B4823"/>
    <mergeCell ref="A4824:A4829"/>
    <mergeCell ref="B4824:B4829"/>
    <mergeCell ref="A4830:A4835"/>
    <mergeCell ref="B4830:B4835"/>
    <mergeCell ref="A4836:A4841"/>
    <mergeCell ref="B4836:B4841"/>
    <mergeCell ref="A4842:A4847"/>
    <mergeCell ref="B4842:B4847"/>
    <mergeCell ref="A4848:A4854"/>
    <mergeCell ref="B4848:B4854"/>
    <mergeCell ref="A4855:A4859"/>
    <mergeCell ref="B4855:B4859"/>
    <mergeCell ref="A4860:A4867"/>
    <mergeCell ref="B4860:B4867"/>
    <mergeCell ref="A4868:A4873"/>
    <mergeCell ref="B4868:B4873"/>
    <mergeCell ref="A4874:A4877"/>
    <mergeCell ref="B4874:B4877"/>
    <mergeCell ref="A5150:A5155"/>
    <mergeCell ref="B5150:B5155"/>
    <mergeCell ref="A5156:A5161"/>
    <mergeCell ref="B5156:B5161"/>
    <mergeCell ref="A4950:A4956"/>
    <mergeCell ref="B4950:B4956"/>
    <mergeCell ref="A4957:A4969"/>
    <mergeCell ref="B4957:B4969"/>
    <mergeCell ref="A4937:A4942"/>
    <mergeCell ref="B4937:B4942"/>
    <mergeCell ref="A4943:A4949"/>
    <mergeCell ref="B4943:B4949"/>
    <mergeCell ref="A4878:A4883"/>
    <mergeCell ref="B4878:B4883"/>
    <mergeCell ref="A4884:A4889"/>
    <mergeCell ref="B4884:B4889"/>
    <mergeCell ref="A4890:A4896"/>
    <mergeCell ref="B4890:B4896"/>
    <mergeCell ref="A4897:A4903"/>
    <mergeCell ref="B4897:B4903"/>
    <mergeCell ref="A4904:A4910"/>
    <mergeCell ref="B4904:B4910"/>
    <mergeCell ref="A4911:A4918"/>
    <mergeCell ref="B4911:B4918"/>
    <mergeCell ref="A4919:A4924"/>
    <mergeCell ref="B4919:B4924"/>
    <mergeCell ref="A4925:A4930"/>
    <mergeCell ref="B4925:B4930"/>
    <mergeCell ref="A4931:A4936"/>
    <mergeCell ref="B4931:B4936"/>
    <mergeCell ref="A4984:A4991"/>
    <mergeCell ref="B4984:B4991"/>
    <mergeCell ref="A2664:A2667"/>
    <mergeCell ref="B2664:B2667"/>
    <mergeCell ref="A2532:A2535"/>
    <mergeCell ref="B2532:B2535"/>
    <mergeCell ref="A2536:A2539"/>
    <mergeCell ref="B2536:B2539"/>
    <mergeCell ref="A2540:A2543"/>
    <mergeCell ref="B2540:B2543"/>
    <mergeCell ref="A2544:A2547"/>
    <mergeCell ref="B2544:B2547"/>
    <mergeCell ref="A2548:A2551"/>
    <mergeCell ref="B2548:B2551"/>
    <mergeCell ref="A2552:A2555"/>
    <mergeCell ref="B2552:B2555"/>
    <mergeCell ref="A2556:A2559"/>
    <mergeCell ref="B2556:B2559"/>
    <mergeCell ref="A2464:A2467"/>
    <mergeCell ref="B2464:B2467"/>
    <mergeCell ref="A2476:A2479"/>
    <mergeCell ref="B2476:B2479"/>
    <mergeCell ref="A2480:A2483"/>
    <mergeCell ref="B2480:B2483"/>
    <mergeCell ref="A2484:A2487"/>
    <mergeCell ref="B2484:B2487"/>
    <mergeCell ref="A2488:A2491"/>
    <mergeCell ref="B2488:B2491"/>
    <mergeCell ref="A2492:A2495"/>
    <mergeCell ref="B2492:B2495"/>
    <mergeCell ref="A2496:A2499"/>
    <mergeCell ref="B2496:B2499"/>
    <mergeCell ref="A2500:A2503"/>
    <mergeCell ref="B2500:B2503"/>
    <mergeCell ref="A2652:A2655"/>
    <mergeCell ref="B2652:B2655"/>
    <mergeCell ref="A2656:A2659"/>
    <mergeCell ref="B2656:B2659"/>
    <mergeCell ref="A2660:A2663"/>
    <mergeCell ref="B2660:B2663"/>
    <mergeCell ref="A2508:A2511"/>
    <mergeCell ref="B2508:B2511"/>
    <mergeCell ref="A2512:A2515"/>
    <mergeCell ref="B2512:B2515"/>
    <mergeCell ref="A2516:A2519"/>
    <mergeCell ref="B2516:B2519"/>
    <mergeCell ref="A2520:A2523"/>
    <mergeCell ref="B2520:B2523"/>
    <mergeCell ref="A2524:A2527"/>
    <mergeCell ref="B2524:B2527"/>
    <mergeCell ref="A2528:A2531"/>
    <mergeCell ref="B2528:B2531"/>
    <mergeCell ref="A2568:A2571"/>
    <mergeCell ref="B2568:B2571"/>
    <mergeCell ref="A2572:A2575"/>
    <mergeCell ref="B2572:B2575"/>
    <mergeCell ref="A2640:A2643"/>
    <mergeCell ref="B2640:B2643"/>
    <mergeCell ref="A2644:A2647"/>
    <mergeCell ref="B2644:B2647"/>
    <mergeCell ref="A2648:A2651"/>
    <mergeCell ref="B2648:B2651"/>
    <mergeCell ref="A2628:A2631"/>
    <mergeCell ref="B2628:B2631"/>
    <mergeCell ref="A2632:A2635"/>
    <mergeCell ref="B2632:B2635"/>
  </mergeCells>
  <conditionalFormatting sqref="D3345 D261 D2431 D2256:E2256 D4746:D4747 E4746 D4859 D4873 D5118 D5128">
    <cfRule type="containsText" dxfId="1772" priority="2615" operator="containsText" text="Pesquisa de Preços">
      <formula>NOT(ISERROR(SEARCH("Pesquisa de Preços",D261)))</formula>
    </cfRule>
  </conditionalFormatting>
  <conditionalFormatting sqref="D9">
    <cfRule type="containsText" dxfId="1771" priority="2614" operator="containsText" text="Pesquisa de Preços">
      <formula>NOT(ISERROR(SEARCH("Pesquisa de Preços",D9)))</formula>
    </cfRule>
  </conditionalFormatting>
  <conditionalFormatting sqref="D7">
    <cfRule type="containsText" dxfId="1770" priority="2613" operator="containsText" text="Pesquisa de Preços">
      <formula>NOT(ISERROR(SEARCH("Pesquisa de Preços",D7)))</formula>
    </cfRule>
  </conditionalFormatting>
  <conditionalFormatting sqref="D6 D10 D14 D18 D23 D28 D33 D37 D42 D47 D52 D59 D64 D69 D77 D82 D87 D92 D97 D102 D106 D111 D116 D120 D125 D130 D134 D138 D143 D148 D153 D160 D165 D170 D174 D178 D182 D189 D196 D200 D204 D209 D213 D218 D223 D227 D231 D235 D239 D247 D262 D267 D275 D282 D289 D304 D319 D325 D340 D350 D364 D370 D379 D393 D400 D414 D421 D433 D439 D445 D453 D463 D470 D482 D488 D496 D503 D510 D516 D525 D534 D540 D548 D556 D564 D572 D582 D591 D599 D609 D618 D624 D632 D640 D647 D651 D655 D659 D663 D667 D671 D679 D689 D697 D705 D715 D724 D731 D737 D745 D749 D756 D767 D773 D784 D791 D805 D815 D819 D824 D828 D833 D840 D846 D851 D857 D864 D870 D878 D885 D892 D897 D904 D908 D914 D923 D930 D939 D948 D954 D960 D967 D974 D981 D992 D1003 D1008 D1013 D1022 D1027 D1037 D1046 D1053 D1060 D1067 D1074 D1083 D1091 D1099 D1109 D1117 D1122 D1127 D1133 D1138 D1145 D1152 D1159 D1166 D1173 D1180 D1187 D1194 D1201 D1208 D1215 D1222 D1229 D1236 D1243 D1250 D1257 D1264 D1271 D1277 D1284 D1291 D1298 D1305 D1313 D1322 D1327 D1333 D1339 D1345 D1352 D1358 D1365 D1371 D1377 D1383 D1389 D1395 D1401 D1408 D1423 D1438 D1453 D1468 D1483 D1498 D1513 D1521 D1529 D1537 D1545 D1553 D1560 D1567 D1574 D1581 D1596 D1602 D1608 D1614 D1621 D1626 D1632 D1638 D1643 D1649 D1655 D1661 D1667 D1672 D1677 D1682 D1688 D1695 D1702 D1708 D1716 D1727 D1738 D1749 D1760 D1767 D1774 D1781 D1788 D1795 D1802 D1809 D1816 D1821 D1826 D1832 D1838 D1845 D1851 D1857 D1863 D1869 D1875 D1881 D1887 D1893 D1899 D1905 D1911 D1917 D1922 D1927 D1932 D1938 D1943 D1948 D1953 D1959 D1965 D1972 D1979 D1987 D1995 D2002 D2009 D2016 D2023 D2029 D2037 D2045 D2053 D2061 D2069 D2077 D2085 D2093 D2101 D2109 D2117 D2123 D2129 D2135 D2141 D2147 D2155 D2163 D2171 D2179 D2187 D2195 D2203 D2211 D2216 D2223 D2229 D2235 D2241 D2257 D2263 D2275 D2287 D2299 D2311 D2323 D2330 D2337 D2343 D2349 D2355 D2361 D2366 D2371 D2376 D2382 D2390 D2397 D2403 D2410 D2428 D2456 D2576 D2580 D2584 D2588 D2592 D2596 D2604 D2612 D2620 D2624 D2628 D2632 D2636 D2640 D2644 D2648 D2652 D2656 D2660 D2668 D2676 D2682 D2688 D2694 D2700 D2706 D2712 D2718 D2724 D2730 D2736 D2742 D2749 D2766 D2773 D2778 D2783 D2788 D2795 D2800 D2805 D2810 D2815 D2820 D2825 D2830 D2835 D2846 D2851 D2856 D2861 D2869 D2877 D2885 D2893 D2901 D2906 D2911 D2916 D2921 D2926 D2931 D2936 D2941 D2946 D2951 D2958 D2963 D2968 D2973 D2978 D2983 D2988 D2993 D2998 D3003 D3011 D3016 D3024 D3028 D3035 D3040 D3048 D3053 D3058 D3063 D3068 D3073 D3078 D3083 D3088 D3093 D3099 D3106 D3113 D3119 D3125 D3132 D3137 D3143 D3151 D3159 D3164 D3168 D3175 D3188 D3194 D3200 D3206 D3216 D3221 D3228 D3235 D3242 D3249 D3256 D3263 D3270 D3277 D3284 D3291 D3297 D3303 D3312 D3317 D3324 D3331 D3338 D3342 D3346 D3351 D3355 D3359 D3366 D3373 D3380 D3385 D3390 D3395 D3399 D3403 D3413 D3424 D3432 D3449 D3457 D3474 D3486 D3493 D3509 D3515 D3521 D3529 D3536 D3541 D3549 D3555 D3562 D3568 D3578 D3583 D3588 D3596 D3600 D3606 D3621 D3629 D3641 D3654 D3665 D3669 D3679 D3684 D3693 D3702 D3706 D3710 D3714 D3720 D3725 D3736 D3746 D3755 D3763 D3775 D3790 D3797 D3813 D3819 D3825 D3831 D3838 D3847 D3854 D3862 D3869 D3877 D3890 D3903 D3908 D3912 D3916 D3925 D3934 D3943 D3952 D3961 D3970 D3976 D3982 D3989 D3995 D3999 D4006 D4014 D4022 D4030 D4040 D4047 D4058 D4069 D4073 D4080 D4087 D4093 D4099 D4105 D4115 D4121 D4129 D4135 D4142 D4150 D4155 D4165 D4174 D4190 D4217 D4224 D4234 D4243 D4252 D4261 D4270 D4280 D4288 D4296 D4306 D4316 D4326 D4334 D4350 D4359 D4365 D4385 D4393 D4401 D4407 D4412 D4417 D4423 D4431 D4437 D4443 D4455 D4467 D4486 D4494 D4503 D4511 D4517 D4529 D4537 D4543 D4551 D4559 D4569 D4575 D4583 D4592 D4604 D4610 D4618 D4629">
    <cfRule type="containsText" dxfId="1769" priority="2612" operator="containsText" text="Pesquisa de Preços">
      <formula>NOT(ISERROR(SEARCH("Pesquisa de Preços",D6)))</formula>
    </cfRule>
  </conditionalFormatting>
  <conditionalFormatting sqref="D8">
    <cfRule type="containsText" dxfId="1768" priority="2611" operator="containsText" text="Pesquisa de Preços">
      <formula>NOT(ISERROR(SEARCH("Pesquisa de Preços",D8)))</formula>
    </cfRule>
  </conditionalFormatting>
  <conditionalFormatting sqref="D15">
    <cfRule type="containsText" dxfId="1767" priority="2610" operator="containsText" text="Pesquisa de Preços">
      <formula>NOT(ISERROR(SEARCH("Pesquisa de Preços",D15)))</formula>
    </cfRule>
  </conditionalFormatting>
  <conditionalFormatting sqref="D16">
    <cfRule type="containsText" dxfId="1766" priority="2609" operator="containsText" text="Pesquisa de Preços">
      <formula>NOT(ISERROR(SEARCH("Pesquisa de Preços",D16)))</formula>
    </cfRule>
  </conditionalFormatting>
  <conditionalFormatting sqref="D12">
    <cfRule type="containsText" dxfId="1765" priority="2608" operator="containsText" text="Pesquisa de Preços">
      <formula>NOT(ISERROR(SEARCH("Pesquisa de Preços",D12)))</formula>
    </cfRule>
  </conditionalFormatting>
  <conditionalFormatting sqref="D94:D95">
    <cfRule type="containsText" dxfId="1764" priority="2106" operator="containsText" text="Pesquisa de Preços">
      <formula>NOT(ISERROR(SEARCH("Pesquisa de Preços",D94)))</formula>
    </cfRule>
  </conditionalFormatting>
  <conditionalFormatting sqref="D13">
    <cfRule type="containsText" dxfId="1763" priority="2607" operator="containsText" text="Pesquisa de Preços">
      <formula>NOT(ISERROR(SEARCH("Pesquisa de Preços",D13)))</formula>
    </cfRule>
  </conditionalFormatting>
  <conditionalFormatting sqref="D11">
    <cfRule type="containsText" dxfId="1762" priority="2606" operator="containsText" text="Pesquisa de Preços">
      <formula>NOT(ISERROR(SEARCH("Pesquisa de Preços",D11)))</formula>
    </cfRule>
  </conditionalFormatting>
  <conditionalFormatting sqref="D224">
    <cfRule type="containsText" dxfId="1761" priority="2604" operator="containsText" text="Pesquisa de Preços">
      <formula>NOT(ISERROR(SEARCH("Pesquisa de Preços",D224)))</formula>
    </cfRule>
  </conditionalFormatting>
  <conditionalFormatting sqref="D226">
    <cfRule type="containsText" dxfId="1760" priority="2605" operator="containsText" text="Pesquisa de Preços">
      <formula>NOT(ISERROR(SEARCH("Pesquisa de Preços",D226)))</formula>
    </cfRule>
  </conditionalFormatting>
  <conditionalFormatting sqref="D1386">
    <cfRule type="containsText" dxfId="1759" priority="2102" operator="containsText" text="Pesquisa de Preços">
      <formula>NOT(ISERROR(SEARCH("Pesquisa de Preços",D1386)))</formula>
    </cfRule>
  </conditionalFormatting>
  <conditionalFormatting sqref="D513">
    <cfRule type="containsText" dxfId="1758" priority="2510" operator="containsText" text="Pesquisa de Preços">
      <formula>NOT(ISERROR(SEARCH("Pesquisa de Preços",D513)))</formula>
    </cfRule>
  </conditionalFormatting>
  <conditionalFormatting sqref="D149">
    <cfRule type="containsText" dxfId="1757" priority="2600" operator="containsText" text="Pesquisa de Preços">
      <formula>NOT(ISERROR(SEARCH("Pesquisa de Preços",D149)))</formula>
    </cfRule>
  </conditionalFormatting>
  <conditionalFormatting sqref="D489:D490 D492:D495">
    <cfRule type="containsText" dxfId="1756" priority="2507" operator="containsText" text="Pesquisa de Preços">
      <formula>NOT(ISERROR(SEARCH("Pesquisa de Preços",D489)))</formula>
    </cfRule>
  </conditionalFormatting>
  <conditionalFormatting sqref="D78">
    <cfRule type="containsText" dxfId="1755" priority="2601" operator="containsText" text="Pesquisa de Preços">
      <formula>NOT(ISERROR(SEARCH("Pesquisa de Preços",D78)))</formula>
    </cfRule>
  </conditionalFormatting>
  <conditionalFormatting sqref="D161">
    <cfRule type="containsText" dxfId="1754" priority="2599" operator="containsText" text="Pesquisa de Preços">
      <formula>NOT(ISERROR(SEARCH("Pesquisa de Preços",D161)))</formula>
    </cfRule>
  </conditionalFormatting>
  <conditionalFormatting sqref="D79">
    <cfRule type="containsText" dxfId="1753" priority="2603" operator="containsText" text="Pesquisa de Preços">
      <formula>NOT(ISERROR(SEARCH("Pesquisa de Preços",D79)))</formula>
    </cfRule>
  </conditionalFormatting>
  <conditionalFormatting sqref="D81">
    <cfRule type="containsText" dxfId="1752" priority="2602" operator="containsText" text="Pesquisa de Preços">
      <formula>NOT(ISERROR(SEARCH("Pesquisa de Preços",D81)))</formula>
    </cfRule>
  </conditionalFormatting>
  <conditionalFormatting sqref="D88">
    <cfRule type="containsText" dxfId="1751" priority="2598" operator="containsText" text="Pesquisa de Preços">
      <formula>NOT(ISERROR(SEARCH("Pesquisa de Preços",D88)))</formula>
    </cfRule>
  </conditionalFormatting>
  <conditionalFormatting sqref="D60">
    <cfRule type="containsText" dxfId="1750" priority="2597" operator="containsText" text="Pesquisa de Preços">
      <formula>NOT(ISERROR(SEARCH("Pesquisa de Preços",D60)))</formula>
    </cfRule>
  </conditionalFormatting>
  <conditionalFormatting sqref="D53">
    <cfRule type="containsText" dxfId="1749" priority="2596" operator="containsText" text="Pesquisa de Preços">
      <formula>NOT(ISERROR(SEARCH("Pesquisa de Preços",D53)))</formula>
    </cfRule>
  </conditionalFormatting>
  <conditionalFormatting sqref="D34:D35">
    <cfRule type="containsText" dxfId="1748" priority="2595" operator="containsText" text="Pesquisa de Preços">
      <formula>NOT(ISERROR(SEARCH("Pesquisa de Preços",D34)))</formula>
    </cfRule>
  </conditionalFormatting>
  <conditionalFormatting sqref="D98:D99">
    <cfRule type="containsText" dxfId="1747" priority="2593" operator="containsText" text="Pesquisa de Preços">
      <formula>NOT(ISERROR(SEARCH("Pesquisa de Preços",D98)))</formula>
    </cfRule>
  </conditionalFormatting>
  <conditionalFormatting sqref="D29">
    <cfRule type="containsText" dxfId="1746" priority="2594" operator="containsText" text="Pesquisa de Preços">
      <formula>NOT(ISERROR(SEARCH("Pesquisa de Preços",D29)))</formula>
    </cfRule>
  </conditionalFormatting>
  <conditionalFormatting sqref="D144:D145">
    <cfRule type="containsText" dxfId="1745" priority="2591" operator="containsText" text="Pesquisa de Preços">
      <formula>NOT(ISERROR(SEARCH("Pesquisa de Preços",D144)))</formula>
    </cfRule>
  </conditionalFormatting>
  <conditionalFormatting sqref="D100">
    <cfRule type="containsText" dxfId="1744" priority="2592" operator="containsText" text="Pesquisa de Preços">
      <formula>NOT(ISERROR(SEARCH("Pesquisa de Preços",D100)))</formula>
    </cfRule>
  </conditionalFormatting>
  <conditionalFormatting sqref="D179">
    <cfRule type="containsText" dxfId="1743" priority="2586" operator="containsText" text="Pesquisa de Preços">
      <formula>NOT(ISERROR(SEARCH("Pesquisa de Preços",D179)))</formula>
    </cfRule>
  </conditionalFormatting>
  <conditionalFormatting sqref="D24">
    <cfRule type="containsText" dxfId="1742" priority="2588" operator="containsText" text="Pesquisa de Preços">
      <formula>NOT(ISERROR(SEARCH("Pesquisa de Preços",D24)))</formula>
    </cfRule>
  </conditionalFormatting>
  <conditionalFormatting sqref="D146">
    <cfRule type="containsText" dxfId="1741" priority="2590" operator="containsText" text="Pesquisa de Preços">
      <formula>NOT(ISERROR(SEARCH("Pesquisa de Preços",D146)))</formula>
    </cfRule>
  </conditionalFormatting>
  <conditionalFormatting sqref="D43:D45">
    <cfRule type="containsText" dxfId="1740" priority="2589" operator="containsText" text="Pesquisa de Preços">
      <formula>NOT(ISERROR(SEARCH("Pesquisa de Preços",D43)))</formula>
    </cfRule>
  </conditionalFormatting>
  <conditionalFormatting sqref="D117:D118">
    <cfRule type="containsText" dxfId="1739" priority="2585" operator="containsText" text="Pesquisa de Preços">
      <formula>NOT(ISERROR(SEARCH("Pesquisa de Preços",D117)))</formula>
    </cfRule>
  </conditionalFormatting>
  <conditionalFormatting sqref="D38:D40">
    <cfRule type="containsText" dxfId="1738" priority="2587" operator="containsText" text="Pesquisa de Preços">
      <formula>NOT(ISERROR(SEARCH("Pesquisa de Preços",D38)))</formula>
    </cfRule>
  </conditionalFormatting>
  <conditionalFormatting sqref="D680">
    <cfRule type="containsText" dxfId="1737" priority="2491" operator="containsText" text="Pesquisa de Preços">
      <formula>NOT(ISERROR(SEARCH("Pesquisa de Preços",D680)))</formula>
    </cfRule>
  </conditionalFormatting>
  <conditionalFormatting sqref="D672">
    <cfRule type="containsText" dxfId="1736" priority="2490" operator="containsText" text="Pesquisa de Preços">
      <formula>NOT(ISERROR(SEARCH("Pesquisa de Preços",D672)))</formula>
    </cfRule>
  </conditionalFormatting>
  <conditionalFormatting sqref="D175:D176">
    <cfRule type="containsText" dxfId="1735" priority="2584" operator="containsText" text="Pesquisa de Preços">
      <formula>NOT(ISERROR(SEARCH("Pesquisa de Preços",D175)))</formula>
    </cfRule>
  </conditionalFormatting>
  <conditionalFormatting sqref="D219:D220">
    <cfRule type="containsText" dxfId="1734" priority="2583" operator="containsText" text="Pesquisa de Preços">
      <formula>NOT(ISERROR(SEARCH("Pesquisa de Preços",D219)))</formula>
    </cfRule>
  </conditionalFormatting>
  <conditionalFormatting sqref="D690:D691 D695:D696">
    <cfRule type="containsText" dxfId="1733" priority="2489" operator="containsText" text="Pesquisa de Preços">
      <formula>NOT(ISERROR(SEARCH("Pesquisa de Preços",D690)))</formula>
    </cfRule>
  </conditionalFormatting>
  <conditionalFormatting sqref="D221">
    <cfRule type="containsText" dxfId="1732" priority="2582" operator="containsText" text="Pesquisa de Preços">
      <formula>NOT(ISERROR(SEARCH("Pesquisa de Preços",D221)))</formula>
    </cfRule>
  </conditionalFormatting>
  <conditionalFormatting sqref="D126">
    <cfRule type="containsText" dxfId="1731" priority="2581" operator="containsText" text="Pesquisa de Preços">
      <formula>NOT(ISERROR(SEARCH("Pesquisa de Preços",D126)))</formula>
    </cfRule>
  </conditionalFormatting>
  <conditionalFormatting sqref="D716">
    <cfRule type="containsText" dxfId="1730" priority="2487" operator="containsText" text="Pesquisa de Preços">
      <formula>NOT(ISERROR(SEARCH("Pesquisa de Preços",D716)))</formula>
    </cfRule>
  </conditionalFormatting>
  <conditionalFormatting sqref="D166:D167">
    <cfRule type="containsText" dxfId="1729" priority="2580" operator="containsText" text="Pesquisa de Preços">
      <formula>NOT(ISERROR(SEARCH("Pesquisa de Preços",D166)))</formula>
    </cfRule>
  </conditionalFormatting>
  <conditionalFormatting sqref="D732">
    <cfRule type="containsText" dxfId="1728" priority="2486" operator="containsText" text="Pesquisa de Preços">
      <formula>NOT(ISERROR(SEARCH("Pesquisa de Preços",D732)))</formula>
    </cfRule>
  </conditionalFormatting>
  <conditionalFormatting sqref="D168">
    <cfRule type="containsText" dxfId="1727" priority="2579" operator="containsText" text="Pesquisa de Preços">
      <formula>NOT(ISERROR(SEARCH("Pesquisa de Preços",D168)))</formula>
    </cfRule>
  </conditionalFormatting>
  <conditionalFormatting sqref="D83">
    <cfRule type="containsText" dxfId="1726" priority="2578" operator="containsText" text="Pesquisa de Preços">
      <formula>NOT(ISERROR(SEARCH("Pesquisa de Preços",D83)))</formula>
    </cfRule>
  </conditionalFormatting>
  <conditionalFormatting sqref="D112">
    <cfRule type="containsText" dxfId="1725" priority="2577" operator="containsText" text="Pesquisa de Preços">
      <formula>NOT(ISERROR(SEARCH("Pesquisa de Preços",D112)))</formula>
    </cfRule>
  </conditionalFormatting>
  <conditionalFormatting sqref="D210:D211">
    <cfRule type="containsText" dxfId="1724" priority="2576" operator="containsText" text="Pesquisa de Preços">
      <formula>NOT(ISERROR(SEARCH("Pesquisa de Preços",D210)))</formula>
    </cfRule>
  </conditionalFormatting>
  <conditionalFormatting sqref="D201">
    <cfRule type="containsText" dxfId="1723" priority="2575" operator="containsText" text="Pesquisa de Preços">
      <formula>NOT(ISERROR(SEARCH("Pesquisa de Preços",D201)))</formula>
    </cfRule>
  </conditionalFormatting>
  <conditionalFormatting sqref="D197:D198">
    <cfRule type="containsText" dxfId="1722" priority="2573" operator="containsText" text="Pesquisa de Preços">
      <formula>NOT(ISERROR(SEARCH("Pesquisa de Preços",D197)))</formula>
    </cfRule>
  </conditionalFormatting>
  <conditionalFormatting sqref="D202:D203">
    <cfRule type="containsText" dxfId="1721" priority="2574" operator="containsText" text="Pesquisa de Preços">
      <formula>NOT(ISERROR(SEARCH("Pesquisa de Preços",D202)))</formula>
    </cfRule>
  </conditionalFormatting>
  <conditionalFormatting sqref="D70:D71 D75:D76">
    <cfRule type="containsText" dxfId="1720" priority="2572" operator="containsText" text="Pesquisa de Preços">
      <formula>NOT(ISERROR(SEARCH("Pesquisa de Preços",D70)))</formula>
    </cfRule>
  </conditionalFormatting>
  <conditionalFormatting sqref="D72:D74">
    <cfRule type="containsText" dxfId="1719" priority="2571" operator="containsText" text="Pesquisa de Preços">
      <formula>NOT(ISERROR(SEARCH("Pesquisa de Preços",D72)))</formula>
    </cfRule>
  </conditionalFormatting>
  <conditionalFormatting sqref="D135:D136">
    <cfRule type="containsText" dxfId="1718" priority="2570" operator="containsText" text="Pesquisa de Preços">
      <formula>NOT(ISERROR(SEARCH("Pesquisa de Preços",D135)))</formula>
    </cfRule>
  </conditionalFormatting>
  <conditionalFormatting sqref="D139:D140">
    <cfRule type="containsText" dxfId="1717" priority="2569" operator="containsText" text="Pesquisa de Preços">
      <formula>NOT(ISERROR(SEARCH("Pesquisa de Preços",D139)))</formula>
    </cfRule>
  </conditionalFormatting>
  <conditionalFormatting sqref="D792 D794:D803">
    <cfRule type="containsText" dxfId="1716" priority="2483" operator="containsText" text="Pesquisa de Preços">
      <formula>NOT(ISERROR(SEARCH("Pesquisa de Preços",D792)))</formula>
    </cfRule>
  </conditionalFormatting>
  <conditionalFormatting sqref="D154:D156">
    <cfRule type="containsText" dxfId="1715" priority="2568" operator="containsText" text="Pesquisa de Preços">
      <formula>NOT(ISERROR(SEARCH("Pesquisa de Preços",D154)))</formula>
    </cfRule>
  </conditionalFormatting>
  <conditionalFormatting sqref="D834">
    <cfRule type="containsText" dxfId="1714" priority="2482" operator="containsText" text="Pesquisa de Preços">
      <formula>NOT(ISERROR(SEARCH("Pesquisa de Preços",D834)))</formula>
    </cfRule>
  </conditionalFormatting>
  <conditionalFormatting sqref="D93">
    <cfRule type="containsText" dxfId="1713" priority="2567" operator="containsText" text="Pesquisa de Preços">
      <formula>NOT(ISERROR(SEARCH("Pesquisa de Preços",D93)))</formula>
    </cfRule>
  </conditionalFormatting>
  <conditionalFormatting sqref="D816:D817">
    <cfRule type="containsText" dxfId="1712" priority="2481" operator="containsText" text="Pesquisa de Preços">
      <formula>NOT(ISERROR(SEARCH("Pesquisa de Preços",D816)))</formula>
    </cfRule>
  </conditionalFormatting>
  <conditionalFormatting sqref="D48:D49">
    <cfRule type="containsText" dxfId="1711" priority="2566" operator="containsText" text="Pesquisa de Preços">
      <formula>NOT(ISERROR(SEARCH("Pesquisa de Preços",D48)))</formula>
    </cfRule>
  </conditionalFormatting>
  <conditionalFormatting sqref="D50">
    <cfRule type="containsText" dxfId="1710" priority="2565" operator="containsText" text="Pesquisa de Preços">
      <formula>NOT(ISERROR(SEARCH("Pesquisa de Preços",D50)))</formula>
    </cfRule>
  </conditionalFormatting>
  <conditionalFormatting sqref="D190:D191">
    <cfRule type="containsText" dxfId="1709" priority="2564" operator="containsText" text="Pesquisa de Preços">
      <formula>NOT(ISERROR(SEARCH("Pesquisa de Preços",D190)))</formula>
    </cfRule>
  </conditionalFormatting>
  <conditionalFormatting sqref="D750:D751 D754:D755">
    <cfRule type="containsText" dxfId="1708" priority="2480" operator="containsText" text="Pesquisa de Preços">
      <formula>NOT(ISERROR(SEARCH("Pesquisa de Preços",D750)))</formula>
    </cfRule>
  </conditionalFormatting>
  <conditionalFormatting sqref="D192">
    <cfRule type="containsText" dxfId="1707" priority="2563" operator="containsText" text="Pesquisa de Preços">
      <formula>NOT(ISERROR(SEARCH("Pesquisa de Preços",D192)))</formula>
    </cfRule>
  </conditionalFormatting>
  <conditionalFormatting sqref="D214">
    <cfRule type="containsText" dxfId="1706" priority="2562" operator="containsText" text="Pesquisa de Preços">
      <formula>NOT(ISERROR(SEARCH("Pesquisa de Preços",D214)))</formula>
    </cfRule>
  </conditionalFormatting>
  <conditionalFormatting sqref="D216">
    <cfRule type="containsText" dxfId="1705" priority="2561" operator="containsText" text="Pesquisa de Preços">
      <formula>NOT(ISERROR(SEARCH("Pesquisa de Preços",D216)))</formula>
    </cfRule>
  </conditionalFormatting>
  <conditionalFormatting sqref="D121">
    <cfRule type="containsText" dxfId="1704" priority="2560" operator="containsText" text="Pesquisa de Preços">
      <formula>NOT(ISERROR(SEARCH("Pesquisa de Preços",D121)))</formula>
    </cfRule>
  </conditionalFormatting>
  <conditionalFormatting sqref="D757:D758">
    <cfRule type="containsText" dxfId="1703" priority="2478" operator="containsText" text="Pesquisa de Preços">
      <formula>NOT(ISERROR(SEARCH("Pesquisa de Preços",D757)))</formula>
    </cfRule>
  </conditionalFormatting>
  <conditionalFormatting sqref="D123">
    <cfRule type="containsText" dxfId="1702" priority="2559" operator="containsText" text="Pesquisa de Preços">
      <formula>NOT(ISERROR(SEARCH("Pesquisa de Preços",D123)))</formula>
    </cfRule>
  </conditionalFormatting>
  <conditionalFormatting sqref="D107:D108">
    <cfRule type="containsText" dxfId="1701" priority="2558" operator="containsText" text="Pesquisa de Preços">
      <formula>NOT(ISERROR(SEARCH("Pesquisa de Preços",D107)))</formula>
    </cfRule>
  </conditionalFormatting>
  <conditionalFormatting sqref="D825 D827">
    <cfRule type="containsText" dxfId="1700" priority="2476" operator="containsText" text="Pesquisa de Preços">
      <formula>NOT(ISERROR(SEARCH("Pesquisa de Preços",D825)))</formula>
    </cfRule>
  </conditionalFormatting>
  <conditionalFormatting sqref="D109">
    <cfRule type="containsText" dxfId="1699" priority="2557" operator="containsText" text="Pesquisa de Preços">
      <formula>NOT(ISERROR(SEARCH("Pesquisa de Preços",D109)))</formula>
    </cfRule>
  </conditionalFormatting>
  <conditionalFormatting sqref="D131">
    <cfRule type="containsText" dxfId="1698" priority="2556" operator="containsText" text="Pesquisa de Preços">
      <formula>NOT(ISERROR(SEARCH("Pesquisa de Preços",D131)))</formula>
    </cfRule>
  </conditionalFormatting>
  <conditionalFormatting sqref="D829">
    <cfRule type="containsText" dxfId="1697" priority="2475" operator="containsText" text="Pesquisa de Preços">
      <formula>NOT(ISERROR(SEARCH("Pesquisa de Preços",D829)))</formula>
    </cfRule>
  </conditionalFormatting>
  <conditionalFormatting sqref="D65">
    <cfRule type="containsText" dxfId="1696" priority="2555" operator="containsText" text="Pesquisa de Preços">
      <formula>NOT(ISERROR(SEARCH("Pesquisa de Preços",D65)))</formula>
    </cfRule>
  </conditionalFormatting>
  <conditionalFormatting sqref="D806">
    <cfRule type="containsText" dxfId="1695" priority="2474" operator="containsText" text="Pesquisa de Preços">
      <formula>NOT(ISERROR(SEARCH("Pesquisa de Preços",D806)))</formula>
    </cfRule>
  </conditionalFormatting>
  <conditionalFormatting sqref="D67">
    <cfRule type="containsText" dxfId="1694" priority="2554" operator="containsText" text="Pesquisa de Preços">
      <formula>NOT(ISERROR(SEARCH("Pesquisa de Preços",D67)))</formula>
    </cfRule>
  </conditionalFormatting>
  <conditionalFormatting sqref="D320">
    <cfRule type="containsText" dxfId="1693" priority="2543" operator="containsText" text="Pesquisa de Preços">
      <formula>NOT(ISERROR(SEARCH("Pesquisa de Preços",D320)))</formula>
    </cfRule>
  </conditionalFormatting>
  <conditionalFormatting sqref="D341">
    <cfRule type="containsText" dxfId="1692" priority="2540" operator="containsText" text="Pesquisa de Preços">
      <formula>NOT(ISERROR(SEARCH("Pesquisa de Preços",D341)))</formula>
    </cfRule>
  </conditionalFormatting>
  <conditionalFormatting sqref="D326:D327">
    <cfRule type="containsText" dxfId="1691" priority="2535" operator="containsText" text="Pesquisa de Preços">
      <formula>NOT(ISERROR(SEARCH("Pesquisa de Preços",D326)))</formula>
    </cfRule>
  </conditionalFormatting>
  <conditionalFormatting sqref="D415 D420">
    <cfRule type="containsText" dxfId="1690" priority="2528" operator="containsText" text="Pesquisa de Preços">
      <formula>NOT(ISERROR(SEARCH("Pesquisa de Preços",D415)))</formula>
    </cfRule>
  </conditionalFormatting>
  <conditionalFormatting sqref="D246">
    <cfRule type="containsText" dxfId="1689" priority="2553" operator="containsText" text="Pesquisa de Preços">
      <formula>NOT(ISERROR(SEARCH("Pesquisa de Preços",D246)))</formula>
    </cfRule>
  </conditionalFormatting>
  <conditionalFormatting sqref="D248:D249">
    <cfRule type="containsText" dxfId="1688" priority="2552" operator="containsText" text="Pesquisa de Preços">
      <formula>NOT(ISERROR(SEARCH("Pesquisa de Preços",D248)))</formula>
    </cfRule>
  </conditionalFormatting>
  <conditionalFormatting sqref="D1094:D1095">
    <cfRule type="containsText" dxfId="1687" priority="2438" operator="containsText" text="Pesquisa de Preços">
      <formula>NOT(ISERROR(SEARCH("Pesquisa de Preços",D1094)))</formula>
    </cfRule>
  </conditionalFormatting>
  <conditionalFormatting sqref="D250:D260">
    <cfRule type="containsText" dxfId="1686" priority="2551" operator="containsText" text="Pesquisa de Preços">
      <formula>NOT(ISERROR(SEARCH("Pesquisa de Preços",D250)))</formula>
    </cfRule>
  </conditionalFormatting>
  <conditionalFormatting sqref="D263:D264">
    <cfRule type="containsText" dxfId="1685" priority="2550" operator="containsText" text="Pesquisa de Preços">
      <formula>NOT(ISERROR(SEARCH("Pesquisa de Preços",D263)))</formula>
    </cfRule>
  </conditionalFormatting>
  <conditionalFormatting sqref="D276:D277 D281">
    <cfRule type="containsText" dxfId="1684" priority="2549" operator="containsText" text="Pesquisa de Preços">
      <formula>NOT(ISERROR(SEARCH("Pesquisa de Preços",D276)))</formula>
    </cfRule>
  </conditionalFormatting>
  <conditionalFormatting sqref="D278:D279">
    <cfRule type="containsText" dxfId="1683" priority="2548" operator="containsText" text="Pesquisa de Preços">
      <formula>NOT(ISERROR(SEARCH("Pesquisa de Preços",D278)))</formula>
    </cfRule>
  </conditionalFormatting>
  <conditionalFormatting sqref="D283:D284 D288">
    <cfRule type="containsText" dxfId="1682" priority="2547" operator="containsText" text="Pesquisa de Preços">
      <formula>NOT(ISERROR(SEARCH("Pesquisa de Preços",D283)))</formula>
    </cfRule>
  </conditionalFormatting>
  <conditionalFormatting sqref="D285:D286">
    <cfRule type="containsText" dxfId="1681" priority="2546" operator="containsText" text="Pesquisa de Preços">
      <formula>NOT(ISERROR(SEARCH("Pesquisa de Preços",D285)))</formula>
    </cfRule>
  </conditionalFormatting>
  <conditionalFormatting sqref="D268:D269 D273:D274">
    <cfRule type="containsText" dxfId="1680" priority="2545" operator="containsText" text="Pesquisa de Preços">
      <formula>NOT(ISERROR(SEARCH("Pesquisa de Preços",D268)))</formula>
    </cfRule>
  </conditionalFormatting>
  <conditionalFormatting sqref="D270:D271">
    <cfRule type="containsText" dxfId="1679" priority="2544" operator="containsText" text="Pesquisa de Preços">
      <formula>NOT(ISERROR(SEARCH("Pesquisa de Preços",D270)))</formula>
    </cfRule>
  </conditionalFormatting>
  <conditionalFormatting sqref="D535:D536 D539">
    <cfRule type="containsText" dxfId="1678" priority="2509" operator="containsText" text="Pesquisa de Preços">
      <formula>NOT(ISERROR(SEARCH("Pesquisa de Preços",D535)))</formula>
    </cfRule>
  </conditionalFormatting>
  <conditionalFormatting sqref="D305">
    <cfRule type="containsText" dxfId="1677" priority="2542" operator="containsText" text="Pesquisa de Preços">
      <formula>NOT(ISERROR(SEARCH("Pesquisa de Preços",D305)))</formula>
    </cfRule>
  </conditionalFormatting>
  <conditionalFormatting sqref="D311:D313">
    <cfRule type="containsText" dxfId="1676" priority="2541" operator="containsText" text="Pesquisa de Preços">
      <formula>NOT(ISERROR(SEARCH("Pesquisa de Preços",D311)))</formula>
    </cfRule>
  </conditionalFormatting>
  <conditionalFormatting sqref="D351">
    <cfRule type="containsText" dxfId="1675" priority="2539" operator="containsText" text="Pesquisa de Preços">
      <formula>NOT(ISERROR(SEARCH("Pesquisa de Preços",D351)))</formula>
    </cfRule>
  </conditionalFormatting>
  <conditionalFormatting sqref="D354:D357">
    <cfRule type="containsText" dxfId="1674" priority="2538" operator="containsText" text="Pesquisa de Preços">
      <formula>NOT(ISERROR(SEARCH("Pesquisa de Preços",D354)))</formula>
    </cfRule>
  </conditionalFormatting>
  <conditionalFormatting sqref="D290">
    <cfRule type="containsText" dxfId="1673" priority="2537" operator="containsText" text="Pesquisa de Preços">
      <formula>NOT(ISERROR(SEARCH("Pesquisa de Preços",D290)))</formula>
    </cfRule>
  </conditionalFormatting>
  <conditionalFormatting sqref="D297:D298">
    <cfRule type="containsText" dxfId="1672" priority="2536" operator="containsText" text="Pesquisa de Preços">
      <formula>NOT(ISERROR(SEARCH("Pesquisa de Preços",D297)))</formula>
    </cfRule>
  </conditionalFormatting>
  <conditionalFormatting sqref="D328:D338">
    <cfRule type="containsText" dxfId="1671" priority="2534" operator="containsText" text="Pesquisa de Preços">
      <formula>NOT(ISERROR(SEARCH("Pesquisa de Preços",D328)))</formula>
    </cfRule>
  </conditionalFormatting>
  <conditionalFormatting sqref="D365:D366 D368:D369">
    <cfRule type="containsText" dxfId="1670" priority="2533" operator="containsText" text="Pesquisa de Preços">
      <formula>NOT(ISERROR(SEARCH("Pesquisa de Preços",D365)))</formula>
    </cfRule>
  </conditionalFormatting>
  <conditionalFormatting sqref="D367">
    <cfRule type="containsText" dxfId="1669" priority="2532" operator="containsText" text="Pesquisa de Preços">
      <formula>NOT(ISERROR(SEARCH("Pesquisa de Preços",D367)))</formula>
    </cfRule>
  </conditionalFormatting>
  <conditionalFormatting sqref="D371:D372 D377:D378">
    <cfRule type="containsText" dxfId="1668" priority="2531" operator="containsText" text="Pesquisa de Preços">
      <formula>NOT(ISERROR(SEARCH("Pesquisa de Preços",D371)))</formula>
    </cfRule>
  </conditionalFormatting>
  <conditionalFormatting sqref="D373:D376">
    <cfRule type="containsText" dxfId="1667" priority="2530" operator="containsText" text="Pesquisa de Preços">
      <formula>NOT(ISERROR(SEARCH("Pesquisa de Preços",D373)))</formula>
    </cfRule>
  </conditionalFormatting>
  <conditionalFormatting sqref="D401">
    <cfRule type="containsText" dxfId="1666" priority="2529" operator="containsText" text="Pesquisa de Preços">
      <formula>NOT(ISERROR(SEARCH("Pesquisa de Preços",D401)))</formula>
    </cfRule>
  </conditionalFormatting>
  <conditionalFormatting sqref="D440:D441 D443:D444">
    <cfRule type="containsText" dxfId="1665" priority="2527" operator="containsText" text="Pesquisa de Preços">
      <formula>NOT(ISERROR(SEARCH("Pesquisa de Preços",D440)))</formula>
    </cfRule>
  </conditionalFormatting>
  <conditionalFormatting sqref="D442">
    <cfRule type="containsText" dxfId="1664" priority="2526" operator="containsText" text="Pesquisa de Preços">
      <formula>NOT(ISERROR(SEARCH("Pesquisa de Preços",D442)))</formula>
    </cfRule>
  </conditionalFormatting>
  <conditionalFormatting sqref="D434:D435 D437:D438">
    <cfRule type="containsText" dxfId="1663" priority="2525" operator="containsText" text="Pesquisa de Preços">
      <formula>NOT(ISERROR(SEARCH("Pesquisa de Preços",D434)))</formula>
    </cfRule>
  </conditionalFormatting>
  <conditionalFormatting sqref="D436">
    <cfRule type="containsText" dxfId="1662" priority="2524" operator="containsText" text="Pesquisa de Preços">
      <formula>NOT(ISERROR(SEARCH("Pesquisa de Preços",D436)))</formula>
    </cfRule>
  </conditionalFormatting>
  <conditionalFormatting sqref="D454:D455 D458:D462">
    <cfRule type="containsText" dxfId="1661" priority="2523" operator="containsText" text="Pesquisa de Preços">
      <formula>NOT(ISERROR(SEARCH("Pesquisa de Preços",D454)))</formula>
    </cfRule>
  </conditionalFormatting>
  <conditionalFormatting sqref="D457">
    <cfRule type="containsText" dxfId="1660" priority="2522" operator="containsText" text="Pesquisa de Preços">
      <formula>NOT(ISERROR(SEARCH("Pesquisa de Preços",D457)))</formula>
    </cfRule>
  </conditionalFormatting>
  <conditionalFormatting sqref="D464:D465 D468:D469">
    <cfRule type="containsText" dxfId="1659" priority="2521" operator="containsText" text="Pesquisa de Preços">
      <formula>NOT(ISERROR(SEARCH("Pesquisa de Preços",D464)))</formula>
    </cfRule>
  </conditionalFormatting>
  <conditionalFormatting sqref="D467">
    <cfRule type="containsText" dxfId="1658" priority="2520" operator="containsText" text="Pesquisa de Preços">
      <formula>NOT(ISERROR(SEARCH("Pesquisa de Preços",D467)))</formula>
    </cfRule>
  </conditionalFormatting>
  <conditionalFormatting sqref="D471 D481">
    <cfRule type="containsText" dxfId="1657" priority="2519" operator="containsText" text="Pesquisa de Preços">
      <formula>NOT(ISERROR(SEARCH("Pesquisa de Preços",D471)))</formula>
    </cfRule>
  </conditionalFormatting>
  <conditionalFormatting sqref="D446 D450 D452">
    <cfRule type="containsText" dxfId="1656" priority="2518" operator="containsText" text="Pesquisa de Preços">
      <formula>NOT(ISERROR(SEARCH("Pesquisa de Preços",D446)))</formula>
    </cfRule>
  </conditionalFormatting>
  <conditionalFormatting sqref="D483:D484 D487">
    <cfRule type="containsText" dxfId="1655" priority="2517" operator="containsText" text="Pesquisa de Preços">
      <formula>NOT(ISERROR(SEARCH("Pesquisa de Preços",D483)))</formula>
    </cfRule>
  </conditionalFormatting>
  <conditionalFormatting sqref="D485">
    <cfRule type="containsText" dxfId="1654" priority="2516" operator="containsText" text="Pesquisa de Preços">
      <formula>NOT(ISERROR(SEARCH("Pesquisa de Preços",D485)))</formula>
    </cfRule>
  </conditionalFormatting>
  <conditionalFormatting sqref="D504:D505 D508:D509">
    <cfRule type="containsText" dxfId="1653" priority="2515" operator="containsText" text="Pesquisa de Preços">
      <formula>NOT(ISERROR(SEARCH("Pesquisa de Preços",D504)))</formula>
    </cfRule>
  </conditionalFormatting>
  <conditionalFormatting sqref="D506:D507">
    <cfRule type="containsText" dxfId="1652" priority="2514" operator="containsText" text="Pesquisa de Preços">
      <formula>NOT(ISERROR(SEARCH("Pesquisa de Preços",D506)))</formula>
    </cfRule>
  </conditionalFormatting>
  <conditionalFormatting sqref="D501:D502 D497:D498">
    <cfRule type="containsText" dxfId="1651" priority="2513" operator="containsText" text="Pesquisa de Preços">
      <formula>NOT(ISERROR(SEARCH("Pesquisa de Preços",D497)))</formula>
    </cfRule>
  </conditionalFormatting>
  <conditionalFormatting sqref="D499:D500">
    <cfRule type="containsText" dxfId="1650" priority="2512" operator="containsText" text="Pesquisa de Preços">
      <formula>NOT(ISERROR(SEARCH("Pesquisa de Preços",D499)))</formula>
    </cfRule>
  </conditionalFormatting>
  <conditionalFormatting sqref="D511:D512 D515">
    <cfRule type="containsText" dxfId="1649" priority="2511" operator="containsText" text="Pesquisa de Preços">
      <formula>NOT(ISERROR(SEARCH("Pesquisa de Preços",D511)))</formula>
    </cfRule>
  </conditionalFormatting>
  <conditionalFormatting sqref="D537">
    <cfRule type="containsText" dxfId="1648" priority="2508" operator="containsText" text="Pesquisa de Preços">
      <formula>NOT(ISERROR(SEARCH("Pesquisa de Preços",D537)))</formula>
    </cfRule>
  </conditionalFormatting>
  <conditionalFormatting sqref="D526:D527 D533">
    <cfRule type="containsText" dxfId="1647" priority="2506" operator="containsText" text="Pesquisa de Preços">
      <formula>NOT(ISERROR(SEARCH("Pesquisa de Preços",D526)))</formula>
    </cfRule>
  </conditionalFormatting>
  <conditionalFormatting sqref="D528:D529">
    <cfRule type="containsText" dxfId="1646" priority="2505" operator="containsText" text="Pesquisa de Preços">
      <formula>NOT(ISERROR(SEARCH("Pesquisa de Preços",D528)))</formula>
    </cfRule>
  </conditionalFormatting>
  <conditionalFormatting sqref="D517 D524">
    <cfRule type="containsText" dxfId="1645" priority="2504" operator="containsText" text="Pesquisa de Preços">
      <formula>NOT(ISERROR(SEARCH("Pesquisa de Preços",D517)))</formula>
    </cfRule>
  </conditionalFormatting>
  <conditionalFormatting sqref="D549:D550 D555">
    <cfRule type="containsText" dxfId="1644" priority="2503" operator="containsText" text="Pesquisa de Preços">
      <formula>NOT(ISERROR(SEARCH("Pesquisa de Preços",D549)))</formula>
    </cfRule>
  </conditionalFormatting>
  <conditionalFormatting sqref="D551:D553">
    <cfRule type="containsText" dxfId="1643" priority="2502" operator="containsText" text="Pesquisa de Preços">
      <formula>NOT(ISERROR(SEARCH("Pesquisa de Preços",D551)))</formula>
    </cfRule>
  </conditionalFormatting>
  <conditionalFormatting sqref="D557:D558 D562:D563">
    <cfRule type="containsText" dxfId="1642" priority="2501" operator="containsText" text="Pesquisa de Preços">
      <formula>NOT(ISERROR(SEARCH("Pesquisa de Preços",D557)))</formula>
    </cfRule>
  </conditionalFormatting>
  <conditionalFormatting sqref="D560:D561">
    <cfRule type="containsText" dxfId="1641" priority="2500" operator="containsText" text="Pesquisa de Preços">
      <formula>NOT(ISERROR(SEARCH("Pesquisa de Preços",D560)))</formula>
    </cfRule>
  </conditionalFormatting>
  <conditionalFormatting sqref="D541:D542 D546:D547">
    <cfRule type="containsText" dxfId="1640" priority="2499" operator="containsText" text="Pesquisa de Preços">
      <formula>NOT(ISERROR(SEARCH("Pesquisa de Preços",D541)))</formula>
    </cfRule>
  </conditionalFormatting>
  <conditionalFormatting sqref="D543:D545">
    <cfRule type="containsText" dxfId="1639" priority="2498" operator="containsText" text="Pesquisa de Preços">
      <formula>NOT(ISERROR(SEARCH("Pesquisa de Preços",D543)))</formula>
    </cfRule>
  </conditionalFormatting>
  <conditionalFormatting sqref="D565:D566 D570:D571">
    <cfRule type="containsText" dxfId="1638" priority="2497" operator="containsText" text="Pesquisa de Preços">
      <formula>NOT(ISERROR(SEARCH("Pesquisa de Preços",D565)))</formula>
    </cfRule>
  </conditionalFormatting>
  <conditionalFormatting sqref="D567:D569">
    <cfRule type="containsText" dxfId="1637" priority="2496" operator="containsText" text="Pesquisa de Preços">
      <formula>NOT(ISERROR(SEARCH("Pesquisa de Preços",D567)))</formula>
    </cfRule>
  </conditionalFormatting>
  <conditionalFormatting sqref="D573:D574">
    <cfRule type="containsText" dxfId="1636" priority="2495" operator="containsText" text="Pesquisa de Preços">
      <formula>NOT(ISERROR(SEARCH("Pesquisa de Preços",D573)))</formula>
    </cfRule>
  </conditionalFormatting>
  <conditionalFormatting sqref="D583:D584 D587:D590">
    <cfRule type="containsText" dxfId="1635" priority="2494" operator="containsText" text="Pesquisa de Preços">
      <formula>NOT(ISERROR(SEARCH("Pesquisa de Preços",D583)))</formula>
    </cfRule>
  </conditionalFormatting>
  <conditionalFormatting sqref="D585:D586">
    <cfRule type="containsText" dxfId="1634" priority="2493" operator="containsText" text="Pesquisa de Preços">
      <formula>NOT(ISERROR(SEARCH("Pesquisa de Preços",D585)))</formula>
    </cfRule>
  </conditionalFormatting>
  <conditionalFormatting sqref="D625 D630:D631">
    <cfRule type="containsText" dxfId="1633" priority="2492" operator="containsText" text="Pesquisa de Preços">
      <formula>NOT(ISERROR(SEARCH("Pesquisa de Preços",D625)))</formula>
    </cfRule>
  </conditionalFormatting>
  <conditionalFormatting sqref="D759:D765">
    <cfRule type="containsText" dxfId="1632" priority="2477" operator="containsText" text="Pesquisa de Preços">
      <formula>NOT(ISERROR(SEARCH("Pesquisa de Preços",D759)))</formula>
    </cfRule>
  </conditionalFormatting>
  <conditionalFormatting sqref="D692:D694">
    <cfRule type="containsText" dxfId="1631" priority="2488" operator="containsText" text="Pesquisa de Preços">
      <formula>NOT(ISERROR(SEARCH("Pesquisa de Preços",D692)))</formula>
    </cfRule>
  </conditionalFormatting>
  <conditionalFormatting sqref="D725">
    <cfRule type="containsText" dxfId="1630" priority="2485" operator="containsText" text="Pesquisa de Preços">
      <formula>NOT(ISERROR(SEARCH("Pesquisa de Preços",D725)))</formula>
    </cfRule>
  </conditionalFormatting>
  <conditionalFormatting sqref="D768">
    <cfRule type="containsText" dxfId="1629" priority="2472" operator="containsText" text="Pesquisa de Preços">
      <formula>NOT(ISERROR(SEARCH("Pesquisa de Preços",D768)))</formula>
    </cfRule>
  </conditionalFormatting>
  <conditionalFormatting sqref="D746:D747">
    <cfRule type="containsText" dxfId="1628" priority="2484" operator="containsText" text="Pesquisa de Preços">
      <formula>NOT(ISERROR(SEARCH("Pesquisa de Preços",D746)))</formula>
    </cfRule>
  </conditionalFormatting>
  <conditionalFormatting sqref="D752:D753">
    <cfRule type="containsText" dxfId="1627" priority="2479" operator="containsText" text="Pesquisa de Preços">
      <formula>NOT(ISERROR(SEARCH("Pesquisa de Preços",D752)))</formula>
    </cfRule>
  </conditionalFormatting>
  <conditionalFormatting sqref="D949">
    <cfRule type="containsText" dxfId="1626" priority="2459" operator="containsText" text="Pesquisa de Preços">
      <formula>NOT(ISERROR(SEARCH("Pesquisa de Preços",D949)))</formula>
    </cfRule>
  </conditionalFormatting>
  <conditionalFormatting sqref="D820 D823">
    <cfRule type="containsText" dxfId="1625" priority="2473" operator="containsText" text="Pesquisa de Preços">
      <formula>NOT(ISERROR(SEARCH("Pesquisa de Preços",D820)))</formula>
    </cfRule>
  </conditionalFormatting>
  <conditionalFormatting sqref="D985:D989">
    <cfRule type="containsText" dxfId="1624" priority="2455" operator="containsText" text="Pesquisa de Preços">
      <formula>NOT(ISERROR(SEARCH("Pesquisa de Preços",D985)))</formula>
    </cfRule>
  </conditionalFormatting>
  <conditionalFormatting sqref="D183:D184">
    <cfRule type="containsText" dxfId="1623" priority="2471" operator="containsText" text="Pesquisa de Preços">
      <formula>NOT(ISERROR(SEARCH("Pesquisa de Preços",D183)))</formula>
    </cfRule>
  </conditionalFormatting>
  <conditionalFormatting sqref="D1017:D1019">
    <cfRule type="containsText" dxfId="1622" priority="2451" operator="containsText" text="Pesquisa de Preços">
      <formula>NOT(ISERROR(SEARCH("Pesquisa de Preços",D1017)))</formula>
    </cfRule>
  </conditionalFormatting>
  <conditionalFormatting sqref="D185:D187">
    <cfRule type="containsText" dxfId="1621" priority="2470" operator="containsText" text="Pesquisa de Preços">
      <formula>NOT(ISERROR(SEARCH("Pesquisa de Preços",D185)))</formula>
    </cfRule>
  </conditionalFormatting>
  <conditionalFormatting sqref="D841 D844:D845">
    <cfRule type="containsText" dxfId="1620" priority="2469" operator="containsText" text="Pesquisa de Preços">
      <formula>NOT(ISERROR(SEARCH("Pesquisa de Preços",D841)))</formula>
    </cfRule>
  </conditionalFormatting>
  <conditionalFormatting sqref="D843">
    <cfRule type="containsText" dxfId="1619" priority="2468" operator="containsText" text="Pesquisa de Preços">
      <formula>NOT(ISERROR(SEARCH("Pesquisa de Preços",D843)))</formula>
    </cfRule>
  </conditionalFormatting>
  <conditionalFormatting sqref="D915:D920">
    <cfRule type="containsText" dxfId="1618" priority="2467" operator="containsText" text="Pesquisa de Preços">
      <formula>NOT(ISERROR(SEARCH("Pesquisa de Preços",D915)))</formula>
    </cfRule>
  </conditionalFormatting>
  <conditionalFormatting sqref="D940:D945">
    <cfRule type="containsText" dxfId="1617" priority="2466" operator="containsText" text="Pesquisa de Preços">
      <formula>NOT(ISERROR(SEARCH("Pesquisa de Preços",D940)))</formula>
    </cfRule>
  </conditionalFormatting>
  <conditionalFormatting sqref="D931">
    <cfRule type="containsText" dxfId="1616" priority="2465" operator="containsText" text="Pesquisa de Preços">
      <formula>NOT(ISERROR(SEARCH("Pesquisa de Preços",D931)))</formula>
    </cfRule>
  </conditionalFormatting>
  <conditionalFormatting sqref="D924 D929">
    <cfRule type="containsText" dxfId="1615" priority="2464" operator="containsText" text="Pesquisa de Preços">
      <formula>NOT(ISERROR(SEARCH("Pesquisa de Preços",D924)))</formula>
    </cfRule>
  </conditionalFormatting>
  <conditionalFormatting sqref="D970:D971">
    <cfRule type="containsText" dxfId="1614" priority="2462" operator="containsText" text="Pesquisa de Preços">
      <formula>NOT(ISERROR(SEARCH("Pesquisa de Preços",D970)))</formula>
    </cfRule>
  </conditionalFormatting>
  <conditionalFormatting sqref="D968:D969">
    <cfRule type="containsText" dxfId="1613" priority="2463" operator="containsText" text="Pesquisa de Preços">
      <formula>NOT(ISERROR(SEARCH("Pesquisa de Preços",D968)))</formula>
    </cfRule>
  </conditionalFormatting>
  <conditionalFormatting sqref="D961">
    <cfRule type="containsText" dxfId="1612" priority="2461" operator="containsText" text="Pesquisa de Preços">
      <formula>NOT(ISERROR(SEARCH("Pesquisa de Preços",D961)))</formula>
    </cfRule>
  </conditionalFormatting>
  <conditionalFormatting sqref="D955 D959">
    <cfRule type="containsText" dxfId="1611" priority="2460" operator="containsText" text="Pesquisa de Preços">
      <formula>NOT(ISERROR(SEARCH("Pesquisa de Preços",D955)))</formula>
    </cfRule>
  </conditionalFormatting>
  <conditionalFormatting sqref="D975:D976 D979:D980">
    <cfRule type="containsText" dxfId="1610" priority="2458" operator="containsText" text="Pesquisa de Preços">
      <formula>NOT(ISERROR(SEARCH("Pesquisa de Preços",D975)))</formula>
    </cfRule>
  </conditionalFormatting>
  <conditionalFormatting sqref="D977">
    <cfRule type="containsText" dxfId="1609" priority="2457" operator="containsText" text="Pesquisa de Preços">
      <formula>NOT(ISERROR(SEARCH("Pesquisa de Preços",D977)))</formula>
    </cfRule>
  </conditionalFormatting>
  <conditionalFormatting sqref="D982:D983 D990:D991">
    <cfRule type="containsText" dxfId="1608" priority="2456" operator="containsText" text="Pesquisa de Preços">
      <formula>NOT(ISERROR(SEARCH("Pesquisa de Preços",D982)))</formula>
    </cfRule>
  </conditionalFormatting>
  <conditionalFormatting sqref="D993:D994 D1001:D1002">
    <cfRule type="containsText" dxfId="1607" priority="2454" operator="containsText" text="Pesquisa de Preços">
      <formula>NOT(ISERROR(SEARCH("Pesquisa de Preços",D993)))</formula>
    </cfRule>
  </conditionalFormatting>
  <conditionalFormatting sqref="D996:D997 D999:D1000">
    <cfRule type="containsText" dxfId="1606" priority="2453" operator="containsText" text="Pesquisa de Preços">
      <formula>NOT(ISERROR(SEARCH("Pesquisa de Preços",D996)))</formula>
    </cfRule>
  </conditionalFormatting>
  <conditionalFormatting sqref="D1014:D1015 D1020:D1021">
    <cfRule type="containsText" dxfId="1605" priority="2452" operator="containsText" text="Pesquisa de Preços">
      <formula>NOT(ISERROR(SEARCH("Pesquisa de Preços",D1014)))</formula>
    </cfRule>
  </conditionalFormatting>
  <conditionalFormatting sqref="D1004:D1005">
    <cfRule type="containsText" dxfId="1604" priority="2450" operator="containsText" text="Pesquisa de Preços">
      <formula>NOT(ISERROR(SEARCH("Pesquisa de Preços",D1004)))</formula>
    </cfRule>
  </conditionalFormatting>
  <conditionalFormatting sqref="D1009:D1010">
    <cfRule type="containsText" dxfId="1603" priority="2449" operator="containsText" text="Pesquisa de Preços">
      <formula>NOT(ISERROR(SEARCH("Pesquisa de Preços",D1009)))</formula>
    </cfRule>
  </conditionalFormatting>
  <conditionalFormatting sqref="D1028:D1029 D1036">
    <cfRule type="containsText" dxfId="1602" priority="2448" operator="containsText" text="Pesquisa de Preços">
      <formula>NOT(ISERROR(SEARCH("Pesquisa de Preços",D1028)))</formula>
    </cfRule>
  </conditionalFormatting>
  <conditionalFormatting sqref="D1031:D1033">
    <cfRule type="containsText" dxfId="1601" priority="2447" operator="containsText" text="Pesquisa de Preços">
      <formula>NOT(ISERROR(SEARCH("Pesquisa de Preços",D1031)))</formula>
    </cfRule>
  </conditionalFormatting>
  <conditionalFormatting sqref="D1038:D1039 D1044:D1045">
    <cfRule type="containsText" dxfId="1600" priority="2446" operator="containsText" text="Pesquisa de Preços">
      <formula>NOT(ISERROR(SEARCH("Pesquisa de Preços",D1038)))</formula>
    </cfRule>
  </conditionalFormatting>
  <conditionalFormatting sqref="D1023:D1024">
    <cfRule type="containsText" dxfId="1599" priority="2445" operator="containsText" text="Pesquisa de Preços">
      <formula>NOT(ISERROR(SEARCH("Pesquisa de Preços",D1023)))</formula>
    </cfRule>
  </conditionalFormatting>
  <conditionalFormatting sqref="D1025">
    <cfRule type="containsText" dxfId="1598" priority="2444" operator="containsText" text="Pesquisa de Preços">
      <formula>NOT(ISERROR(SEARCH("Pesquisa de Preços",D1025)))</formula>
    </cfRule>
  </conditionalFormatting>
  <conditionalFormatting sqref="D1100:D1101 D1108">
    <cfRule type="containsText" dxfId="1597" priority="2443" operator="containsText" text="Pesquisa de Preços">
      <formula>NOT(ISERROR(SEARCH("Pesquisa de Preços",D1100)))</formula>
    </cfRule>
  </conditionalFormatting>
  <conditionalFormatting sqref="D1047:D1048 D1051:D1052">
    <cfRule type="containsText" dxfId="1596" priority="2442" operator="containsText" text="Pesquisa de Preços">
      <formula>NOT(ISERROR(SEARCH("Pesquisa de Preços",D1047)))</formula>
    </cfRule>
  </conditionalFormatting>
  <conditionalFormatting sqref="D1049:D1050">
    <cfRule type="containsText" dxfId="1595" priority="2441" operator="containsText" text="Pesquisa de Preços">
      <formula>NOT(ISERROR(SEARCH("Pesquisa de Preços",D1049)))</formula>
    </cfRule>
  </conditionalFormatting>
  <conditionalFormatting sqref="D1061:D1062 D1066">
    <cfRule type="containsText" dxfId="1594" priority="2440" operator="containsText" text="Pesquisa de Preços">
      <formula>NOT(ISERROR(SEARCH("Pesquisa de Preços",D1061)))</formula>
    </cfRule>
  </conditionalFormatting>
  <conditionalFormatting sqref="D1092:D1093 D1098">
    <cfRule type="containsText" dxfId="1593" priority="2439" operator="containsText" text="Pesquisa de Preços">
      <formula>NOT(ISERROR(SEARCH("Pesquisa de Preços",D1092)))</formula>
    </cfRule>
  </conditionalFormatting>
  <conditionalFormatting sqref="D1054:D1055">
    <cfRule type="containsText" dxfId="1592" priority="2437" operator="containsText" text="Pesquisa de Preços">
      <formula>NOT(ISERROR(SEARCH("Pesquisa de Preços",D1054)))</formula>
    </cfRule>
  </conditionalFormatting>
  <conditionalFormatting sqref="D1056:D1058">
    <cfRule type="containsText" dxfId="1591" priority="2436" operator="containsText" text="Pesquisa de Preços">
      <formula>NOT(ISERROR(SEARCH("Pesquisa de Preços",D1056)))</formula>
    </cfRule>
  </conditionalFormatting>
  <conditionalFormatting sqref="D1068">
    <cfRule type="containsText" dxfId="1590" priority="2435" operator="containsText" text="Pesquisa de Preços">
      <formula>NOT(ISERROR(SEARCH("Pesquisa de Preços",D1068)))</formula>
    </cfRule>
  </conditionalFormatting>
  <conditionalFormatting sqref="D1084 D1090">
    <cfRule type="containsText" dxfId="1589" priority="2434" operator="containsText" text="Pesquisa de Preços">
      <formula>NOT(ISERROR(SEARCH("Pesquisa de Preços",D1084)))</formula>
    </cfRule>
  </conditionalFormatting>
  <conditionalFormatting sqref="D1075 D1082">
    <cfRule type="containsText" dxfId="1588" priority="2433" operator="containsText" text="Pesquisa de Preços">
      <formula>NOT(ISERROR(SEARCH("Pesquisa de Preços",D1075)))</formula>
    </cfRule>
  </conditionalFormatting>
  <conditionalFormatting sqref="D1123:D1124">
    <cfRule type="containsText" dxfId="1587" priority="2432" operator="containsText" text="Pesquisa de Preços">
      <formula>NOT(ISERROR(SEARCH("Pesquisa de Preços",D1123)))</formula>
    </cfRule>
  </conditionalFormatting>
  <conditionalFormatting sqref="D1118:D1119">
    <cfRule type="containsText" dxfId="1586" priority="2431" operator="containsText" text="Pesquisa de Preços">
      <formula>NOT(ISERROR(SEARCH("Pesquisa de Preços",D1118)))</formula>
    </cfRule>
  </conditionalFormatting>
  <conditionalFormatting sqref="D1244:D1245 D1249">
    <cfRule type="containsText" dxfId="1585" priority="2430" operator="containsText" text="Pesquisa de Preços">
      <formula>NOT(ISERROR(SEARCH("Pesquisa de Preços",D1244)))</formula>
    </cfRule>
  </conditionalFormatting>
  <conditionalFormatting sqref="D1237:D1238 D1242">
    <cfRule type="containsText" dxfId="1584" priority="2429" operator="containsText" text="Pesquisa de Preços">
      <formula>NOT(ISERROR(SEARCH("Pesquisa de Preços",D1237)))</formula>
    </cfRule>
  </conditionalFormatting>
  <conditionalFormatting sqref="D1230:D1231 D1235">
    <cfRule type="containsText" dxfId="1583" priority="2428" operator="containsText" text="Pesquisa de Preços">
      <formula>NOT(ISERROR(SEARCH("Pesquisa de Preços",D1230)))</formula>
    </cfRule>
  </conditionalFormatting>
  <conditionalFormatting sqref="D1223:D1224 D1228">
    <cfRule type="containsText" dxfId="1582" priority="2427" operator="containsText" text="Pesquisa de Preços">
      <formula>NOT(ISERROR(SEARCH("Pesquisa de Preços",D1223)))</formula>
    </cfRule>
  </conditionalFormatting>
  <conditionalFormatting sqref="D1139:D1140 D1143:D1144">
    <cfRule type="containsText" dxfId="1581" priority="2426" operator="containsText" text="Pesquisa de Preços">
      <formula>NOT(ISERROR(SEARCH("Pesquisa de Preços",D1139)))</formula>
    </cfRule>
  </conditionalFormatting>
  <conditionalFormatting sqref="D1128:D1129 D1131:D1132">
    <cfRule type="containsText" dxfId="1580" priority="2425" operator="containsText" text="Pesquisa de Preços">
      <formula>NOT(ISERROR(SEARCH("Pesquisa de Preços",D1128)))</formula>
    </cfRule>
  </conditionalFormatting>
  <conditionalFormatting sqref="D1265 D1270">
    <cfRule type="containsText" dxfId="1579" priority="2424" operator="containsText" text="Pesquisa de Preços">
      <formula>NOT(ISERROR(SEARCH("Pesquisa de Preços",D1265)))</formula>
    </cfRule>
  </conditionalFormatting>
  <conditionalFormatting sqref="D1251:D1252 D1255:D1256">
    <cfRule type="containsText" dxfId="1578" priority="2423" operator="containsText" text="Pesquisa de Preços">
      <formula>NOT(ISERROR(SEARCH("Pesquisa de Preços",D1251)))</formula>
    </cfRule>
  </conditionalFormatting>
  <conditionalFormatting sqref="D1153:D1154 D1157:D1158">
    <cfRule type="containsText" dxfId="1577" priority="2422" operator="containsText" text="Pesquisa de Preços">
      <formula>NOT(ISERROR(SEARCH("Pesquisa de Preços",D1153)))</formula>
    </cfRule>
  </conditionalFormatting>
  <conditionalFormatting sqref="D1188:D1189 D1192:D1193">
    <cfRule type="containsText" dxfId="1576" priority="2421" operator="containsText" text="Pesquisa de Preços">
      <formula>NOT(ISERROR(SEARCH("Pesquisa de Preços",D1188)))</formula>
    </cfRule>
  </conditionalFormatting>
  <conditionalFormatting sqref="D1195:D1196 D1199:D1200">
    <cfRule type="containsText" dxfId="1575" priority="2420" operator="containsText" text="Pesquisa de Preços">
      <formula>NOT(ISERROR(SEARCH("Pesquisa de Preços",D1195)))</formula>
    </cfRule>
  </conditionalFormatting>
  <conditionalFormatting sqref="D1202:D1203 D1206:D1207">
    <cfRule type="containsText" dxfId="1574" priority="2419" operator="containsText" text="Pesquisa de Preços">
      <formula>NOT(ISERROR(SEARCH("Pesquisa de Preços",D1202)))</formula>
    </cfRule>
  </conditionalFormatting>
  <conditionalFormatting sqref="D1181:D1182 D1185:D1186">
    <cfRule type="containsText" dxfId="1573" priority="2418" operator="containsText" text="Pesquisa de Preços">
      <formula>NOT(ISERROR(SEARCH("Pesquisa de Preços",D1181)))</formula>
    </cfRule>
  </conditionalFormatting>
  <conditionalFormatting sqref="D1146:D1147 D1151">
    <cfRule type="containsText" dxfId="1572" priority="2417" operator="containsText" text="Pesquisa de Preços">
      <formula>NOT(ISERROR(SEARCH("Pesquisa de Preços",D1146)))</formula>
    </cfRule>
  </conditionalFormatting>
  <conditionalFormatting sqref="D1149">
    <cfRule type="containsText" dxfId="1571" priority="2416" operator="containsText" text="Pesquisa de Preços">
      <formula>NOT(ISERROR(SEARCH("Pesquisa de Preços",D1149)))</formula>
    </cfRule>
  </conditionalFormatting>
  <conditionalFormatting sqref="D1167:D1168 D1171:D1172">
    <cfRule type="containsText" dxfId="1570" priority="2415" operator="containsText" text="Pesquisa de Preços">
      <formula>NOT(ISERROR(SEARCH("Pesquisa de Preços",D1167)))</formula>
    </cfRule>
  </conditionalFormatting>
  <conditionalFormatting sqref="D1174 D1179">
    <cfRule type="containsText" dxfId="1569" priority="2414" operator="containsText" text="Pesquisa de Preços">
      <formula>NOT(ISERROR(SEARCH("Pesquisa de Preços",D1174)))</formula>
    </cfRule>
  </conditionalFormatting>
  <conditionalFormatting sqref="D1209:D1210 D1214">
    <cfRule type="containsText" dxfId="1568" priority="2413" operator="containsText" text="Pesquisa de Preços">
      <formula>NOT(ISERROR(SEARCH("Pesquisa de Preços",D1209)))</formula>
    </cfRule>
  </conditionalFormatting>
  <conditionalFormatting sqref="D1134">
    <cfRule type="containsText" dxfId="1567" priority="2412" operator="containsText" text="Pesquisa de Preços">
      <formula>NOT(ISERROR(SEARCH("Pesquisa de Preços",D1134)))</formula>
    </cfRule>
  </conditionalFormatting>
  <conditionalFormatting sqref="D1272:D1273 D1275:D1276">
    <cfRule type="containsText" dxfId="1566" priority="2411" operator="containsText" text="Pesquisa de Preços">
      <formula>NOT(ISERROR(SEARCH("Pesquisa de Preços",D1272)))</formula>
    </cfRule>
  </conditionalFormatting>
  <conditionalFormatting sqref="D1274">
    <cfRule type="containsText" dxfId="1565" priority="2410" operator="containsText" text="Pesquisa de Preços">
      <formula>NOT(ISERROR(SEARCH("Pesquisa de Preços",D1274)))</formula>
    </cfRule>
  </conditionalFormatting>
  <conditionalFormatting sqref="D1306:D1307 D1311:D1312">
    <cfRule type="containsText" dxfId="1564" priority="2409" operator="containsText" text="Pesquisa de Preços">
      <formula>NOT(ISERROR(SEARCH("Pesquisa de Preços",D1306)))</formula>
    </cfRule>
  </conditionalFormatting>
  <conditionalFormatting sqref="D1308:D1309">
    <cfRule type="containsText" dxfId="1563" priority="2408" operator="containsText" text="Pesquisa de Preços">
      <formula>NOT(ISERROR(SEARCH("Pesquisa de Preços",D1308)))</formula>
    </cfRule>
  </conditionalFormatting>
  <conditionalFormatting sqref="D1314 D1320:D1321">
    <cfRule type="containsText" dxfId="1562" priority="2407" operator="containsText" text="Pesquisa de Preços">
      <formula>NOT(ISERROR(SEARCH("Pesquisa de Preços",D1314)))</formula>
    </cfRule>
  </conditionalFormatting>
  <conditionalFormatting sqref="D1402:D1403 D1406:D1407">
    <cfRule type="containsText" dxfId="1561" priority="2391" operator="containsText" text="Pesquisa de Preços">
      <formula>NOT(ISERROR(SEARCH("Pesquisa de Preços",D1402)))</formula>
    </cfRule>
  </conditionalFormatting>
  <conditionalFormatting sqref="D1278:D1279">
    <cfRule type="containsText" dxfId="1560" priority="2406" operator="containsText" text="Pesquisa de Preços">
      <formula>NOT(ISERROR(SEARCH("Pesquisa de Preços",D1278)))</formula>
    </cfRule>
  </conditionalFormatting>
  <conditionalFormatting sqref="D1280:D1282">
    <cfRule type="containsText" dxfId="1559" priority="2405" operator="containsText" text="Pesquisa de Preços">
      <formula>NOT(ISERROR(SEARCH("Pesquisa de Preços",D1280)))</formula>
    </cfRule>
  </conditionalFormatting>
  <conditionalFormatting sqref="D1285:D1286 D1290">
    <cfRule type="containsText" dxfId="1558" priority="2404" operator="containsText" text="Pesquisa de Preços">
      <formula>NOT(ISERROR(SEARCH("Pesquisa de Preços",D1285)))</formula>
    </cfRule>
  </conditionalFormatting>
  <conditionalFormatting sqref="D1292:D1293 D1297">
    <cfRule type="containsText" dxfId="1557" priority="2403" operator="containsText" text="Pesquisa de Preços">
      <formula>NOT(ISERROR(SEARCH("Pesquisa de Preços",D1292)))</formula>
    </cfRule>
  </conditionalFormatting>
  <conditionalFormatting sqref="D1299 D1302 D1304">
    <cfRule type="containsText" dxfId="1556" priority="2402" operator="containsText" text="Pesquisa de Preços">
      <formula>NOT(ISERROR(SEARCH("Pesquisa de Preços",D1299)))</formula>
    </cfRule>
  </conditionalFormatting>
  <conditionalFormatting sqref="D1380">
    <cfRule type="containsText" dxfId="1555" priority="2384" operator="containsText" text="Pesquisa de Preços">
      <formula>NOT(ISERROR(SEARCH("Pesquisa de Preços",D1380)))</formula>
    </cfRule>
  </conditionalFormatting>
  <conditionalFormatting sqref="D1334:D1335">
    <cfRule type="containsText" dxfId="1554" priority="2400" operator="containsText" text="Pesquisa de Preços">
      <formula>NOT(ISERROR(SEARCH("Pesquisa de Preços",D1334)))</formula>
    </cfRule>
  </conditionalFormatting>
  <conditionalFormatting sqref="D1340:D1341">
    <cfRule type="containsText" dxfId="1553" priority="2401" operator="containsText" text="Pesquisa de Preços">
      <formula>NOT(ISERROR(SEARCH("Pesquisa de Preços",D1340)))</formula>
    </cfRule>
  </conditionalFormatting>
  <conditionalFormatting sqref="D1323:D1324">
    <cfRule type="containsText" dxfId="1552" priority="2398" operator="containsText" text="Pesquisa de Preços">
      <formula>NOT(ISERROR(SEARCH("Pesquisa de Preços",D1323)))</formula>
    </cfRule>
  </conditionalFormatting>
  <conditionalFormatting sqref="D1328:D1329">
    <cfRule type="containsText" dxfId="1551" priority="2399" operator="containsText" text="Pesquisa de Preços">
      <formula>NOT(ISERROR(SEARCH("Pesquisa de Preços",D1328)))</formula>
    </cfRule>
  </conditionalFormatting>
  <conditionalFormatting sqref="D1346:D1347 D1350:D1351">
    <cfRule type="containsText" dxfId="1550" priority="2397" operator="containsText" text="Pesquisa de Preços">
      <formula>NOT(ISERROR(SEARCH("Pesquisa de Preços",D1346)))</formula>
    </cfRule>
  </conditionalFormatting>
  <conditionalFormatting sqref="D1520">
    <cfRule type="containsText" dxfId="1549" priority="2376" operator="containsText" text="Pesquisa de Preços">
      <formula>NOT(ISERROR(SEARCH("Pesquisa de Preços",D1520)))</formula>
    </cfRule>
  </conditionalFormatting>
  <conditionalFormatting sqref="D1348:D1349">
    <cfRule type="containsText" dxfId="1548" priority="2396" operator="containsText" text="Pesquisa de Preços">
      <formula>NOT(ISERROR(SEARCH("Pesquisa de Preços",D1348)))</formula>
    </cfRule>
  </conditionalFormatting>
  <conditionalFormatting sqref="D1359:D1360 D1363:D1364">
    <cfRule type="containsText" dxfId="1547" priority="2395" operator="containsText" text="Pesquisa de Preços">
      <formula>NOT(ISERROR(SEARCH("Pesquisa de Preços",D1359)))</formula>
    </cfRule>
  </conditionalFormatting>
  <conditionalFormatting sqref="D1528">
    <cfRule type="containsText" dxfId="1546" priority="2377" operator="containsText" text="Pesquisa de Preços">
      <formula>NOT(ISERROR(SEARCH("Pesquisa de Preços",D1528)))</formula>
    </cfRule>
  </conditionalFormatting>
  <conditionalFormatting sqref="D1361:D1362">
    <cfRule type="containsText" dxfId="1545" priority="2394" operator="containsText" text="Pesquisa de Preços">
      <formula>NOT(ISERROR(SEARCH("Pesquisa de Preços",D1361)))</formula>
    </cfRule>
  </conditionalFormatting>
  <conditionalFormatting sqref="D1353 D1356:D1357">
    <cfRule type="containsText" dxfId="1544" priority="2393" operator="containsText" text="Pesquisa de Preços">
      <formula>NOT(ISERROR(SEARCH("Pesquisa de Preços",D1353)))</formula>
    </cfRule>
  </conditionalFormatting>
  <conditionalFormatting sqref="D1366 D1369:D1370">
    <cfRule type="containsText" dxfId="1543" priority="2392" operator="containsText" text="Pesquisa de Preços">
      <formula>NOT(ISERROR(SEARCH("Pesquisa de Preços",D1366)))</formula>
    </cfRule>
  </conditionalFormatting>
  <conditionalFormatting sqref="D1404:D1405">
    <cfRule type="containsText" dxfId="1542" priority="2390" operator="containsText" text="Pesquisa de Preços">
      <formula>NOT(ISERROR(SEARCH("Pesquisa de Preços",D1404)))</formula>
    </cfRule>
  </conditionalFormatting>
  <conditionalFormatting sqref="D1393:D1394 D1390:D1391">
    <cfRule type="containsText" dxfId="1541" priority="2389" operator="containsText" text="Pesquisa de Preços">
      <formula>NOT(ISERROR(SEARCH("Pesquisa de Preços",D1390)))</formula>
    </cfRule>
  </conditionalFormatting>
  <conditionalFormatting sqref="D1392">
    <cfRule type="containsText" dxfId="1540" priority="2388" operator="containsText" text="Pesquisa de Preços">
      <formula>NOT(ISERROR(SEARCH("Pesquisa de Preços",D1392)))</formula>
    </cfRule>
  </conditionalFormatting>
  <conditionalFormatting sqref="D1372:D1373 D1375:D1376">
    <cfRule type="containsText" dxfId="1539" priority="2387" operator="containsText" text="Pesquisa de Preços">
      <formula>NOT(ISERROR(SEARCH("Pesquisa de Preços",D1372)))</formula>
    </cfRule>
  </conditionalFormatting>
  <conditionalFormatting sqref="D1374">
    <cfRule type="containsText" dxfId="1538" priority="2386" operator="containsText" text="Pesquisa de Preços">
      <formula>NOT(ISERROR(SEARCH("Pesquisa de Preços",D1374)))</formula>
    </cfRule>
  </conditionalFormatting>
  <conditionalFormatting sqref="D1378:D1379 D1381:D1382">
    <cfRule type="containsText" dxfId="1537" priority="2385" operator="containsText" text="Pesquisa de Preços">
      <formula>NOT(ISERROR(SEARCH("Pesquisa de Preços",D1378)))</formula>
    </cfRule>
  </conditionalFormatting>
  <conditionalFormatting sqref="D1384 D1387:D1388">
    <cfRule type="containsText" dxfId="1536" priority="2383" operator="containsText" text="Pesquisa de Preços">
      <formula>NOT(ISERROR(SEARCH("Pesquisa de Preços",D1384)))</formula>
    </cfRule>
  </conditionalFormatting>
  <conditionalFormatting sqref="D1409 D1422">
    <cfRule type="containsText" dxfId="1535" priority="2369" operator="containsText" text="Pesquisa de Preços">
      <formula>NOT(ISERROR(SEARCH("Pesquisa de Preços",D1409)))</formula>
    </cfRule>
  </conditionalFormatting>
  <conditionalFormatting sqref="D1561:D1562">
    <cfRule type="containsText" dxfId="1534" priority="2382" operator="containsText" text="Pesquisa de Preços">
      <formula>NOT(ISERROR(SEARCH("Pesquisa de Preços",D1561)))</formula>
    </cfRule>
  </conditionalFormatting>
  <conditionalFormatting sqref="D1563 D1565">
    <cfRule type="containsText" dxfId="1533" priority="2381" operator="containsText" text="Pesquisa de Preços">
      <formula>NOT(ISERROR(SEARCH("Pesquisa de Preços",D1563)))</formula>
    </cfRule>
  </conditionalFormatting>
  <conditionalFormatting sqref="D1554:D1555">
    <cfRule type="containsText" dxfId="1532" priority="2380" operator="containsText" text="Pesquisa de Preços">
      <formula>NOT(ISERROR(SEARCH("Pesquisa de Preços",D1554)))</formula>
    </cfRule>
  </conditionalFormatting>
  <conditionalFormatting sqref="D1546 D1552">
    <cfRule type="containsText" dxfId="1531" priority="2379" operator="containsText" text="Pesquisa de Preços">
      <formula>NOT(ISERROR(SEARCH("Pesquisa de Preços",D1546)))</formula>
    </cfRule>
  </conditionalFormatting>
  <conditionalFormatting sqref="D1530">
    <cfRule type="containsText" dxfId="1530" priority="2378" operator="containsText" text="Pesquisa de Preços">
      <formula>NOT(ISERROR(SEARCH("Pesquisa de Preços",D1530)))</formula>
    </cfRule>
  </conditionalFormatting>
  <conditionalFormatting sqref="D1568:D1569 D1572:D1573">
    <cfRule type="containsText" dxfId="1529" priority="2372" operator="containsText" text="Pesquisa de Preços">
      <formula>NOT(ISERROR(SEARCH("Pesquisa de Preços",D1568)))</formula>
    </cfRule>
  </conditionalFormatting>
  <conditionalFormatting sqref="D1497">
    <cfRule type="containsText" dxfId="1528" priority="2364" operator="containsText" text="Pesquisa de Preços">
      <formula>NOT(ISERROR(SEARCH("Pesquisa de Preços",D1497)))</formula>
    </cfRule>
  </conditionalFormatting>
  <conditionalFormatting sqref="D1499 D1512">
    <cfRule type="containsText" dxfId="1527" priority="2370" operator="containsText" text="Pesquisa de Preços">
      <formula>NOT(ISERROR(SEARCH("Pesquisa de Preços",D1499)))</formula>
    </cfRule>
  </conditionalFormatting>
  <conditionalFormatting sqref="D1544">
    <cfRule type="containsText" dxfId="1526" priority="2375" operator="containsText" text="Pesquisa de Preços">
      <formula>NOT(ISERROR(SEARCH("Pesquisa de Preços",D1544)))</formula>
    </cfRule>
  </conditionalFormatting>
  <conditionalFormatting sqref="D1575:D1576 D1579:D1580">
    <cfRule type="containsText" dxfId="1525" priority="2374" operator="containsText" text="Pesquisa de Preços">
      <formula>NOT(ISERROR(SEARCH("Pesquisa de Preços",D1575)))</formula>
    </cfRule>
  </conditionalFormatting>
  <conditionalFormatting sqref="D1578">
    <cfRule type="containsText" dxfId="1524" priority="2373" operator="containsText" text="Pesquisa de Preços">
      <formula>NOT(ISERROR(SEARCH("Pesquisa de Preços",D1578)))</formula>
    </cfRule>
  </conditionalFormatting>
  <conditionalFormatting sqref="D1570:D1571">
    <cfRule type="containsText" dxfId="1523" priority="2371" operator="containsText" text="Pesquisa de Preços">
      <formula>NOT(ISERROR(SEARCH("Pesquisa de Preços",D1570)))</formula>
    </cfRule>
  </conditionalFormatting>
  <conditionalFormatting sqref="D1615 D1619:D1620">
    <cfRule type="containsText" dxfId="1522" priority="2347" operator="containsText" text="Pesquisa de Preços">
      <formula>NOT(ISERROR(SEARCH("Pesquisa de Preços",D1615)))</formula>
    </cfRule>
  </conditionalFormatting>
  <conditionalFormatting sqref="D1439 D1452">
    <cfRule type="containsText" dxfId="1521" priority="2368" operator="containsText" text="Pesquisa de Preços">
      <formula>NOT(ISERROR(SEARCH("Pesquisa de Preços",D1439)))</formula>
    </cfRule>
  </conditionalFormatting>
  <conditionalFormatting sqref="D1633 D1637">
    <cfRule type="containsText" dxfId="1520" priority="2353" operator="containsText" text="Pesquisa de Preços">
      <formula>NOT(ISERROR(SEARCH("Pesquisa de Preços",D1633)))</formula>
    </cfRule>
  </conditionalFormatting>
  <conditionalFormatting sqref="D1424 D1437">
    <cfRule type="containsText" dxfId="1519" priority="2367" operator="containsText" text="Pesquisa de Preços">
      <formula>NOT(ISERROR(SEARCH("Pesquisa de Preços",D1424)))</formula>
    </cfRule>
  </conditionalFormatting>
  <conditionalFormatting sqref="D1469 D1482">
    <cfRule type="containsText" dxfId="1518" priority="2366" operator="containsText" text="Pesquisa de Preços">
      <formula>NOT(ISERROR(SEARCH("Pesquisa de Preços",D1469)))</formula>
    </cfRule>
  </conditionalFormatting>
  <conditionalFormatting sqref="D1696 D1699:D1701">
    <cfRule type="containsText" dxfId="1517" priority="2354" operator="containsText" text="Pesquisa de Preços">
      <formula>NOT(ISERROR(SEARCH("Pesquisa de Preços",D1696)))</formula>
    </cfRule>
  </conditionalFormatting>
  <conditionalFormatting sqref="D1467">
    <cfRule type="containsText" dxfId="1516" priority="2365" operator="containsText" text="Pesquisa de Preços">
      <formula>NOT(ISERROR(SEARCH("Pesquisa de Preços",D1467)))</formula>
    </cfRule>
  </conditionalFormatting>
  <conditionalFormatting sqref="D1597 D1601">
    <cfRule type="containsText" dxfId="1515" priority="2359" operator="containsText" text="Pesquisa de Preços">
      <formula>NOT(ISERROR(SEARCH("Pesquisa de Preços",D1597)))</formula>
    </cfRule>
  </conditionalFormatting>
  <conditionalFormatting sqref="D1582:D1583 D1594:D1595">
    <cfRule type="containsText" dxfId="1514" priority="2363" operator="containsText" text="Pesquisa de Preços">
      <formula>NOT(ISERROR(SEARCH("Pesquisa de Preços",D1582)))</formula>
    </cfRule>
  </conditionalFormatting>
  <conditionalFormatting sqref="D1584:D1591 D1593">
    <cfRule type="containsText" dxfId="1513" priority="2362" operator="containsText" text="Pesquisa de Preços">
      <formula>NOT(ISERROR(SEARCH("Pesquisa de Preços",D1584)))</formula>
    </cfRule>
  </conditionalFormatting>
  <conditionalFormatting sqref="D1396:D1397 D1399:D1400">
    <cfRule type="containsText" dxfId="1512" priority="2361" operator="containsText" text="Pesquisa de Preços">
      <formula>NOT(ISERROR(SEARCH("Pesquisa de Preços",D1396)))</formula>
    </cfRule>
  </conditionalFormatting>
  <conditionalFormatting sqref="D1398">
    <cfRule type="containsText" dxfId="1511" priority="2360" operator="containsText" text="Pesquisa de Preços">
      <formula>NOT(ISERROR(SEARCH("Pesquisa de Preços",D1398)))</formula>
    </cfRule>
  </conditionalFormatting>
  <conditionalFormatting sqref="D1639 D1641:D1642">
    <cfRule type="containsText" dxfId="1510" priority="2350" operator="containsText" text="Pesquisa de Preços">
      <formula>NOT(ISERROR(SEARCH("Pesquisa de Preços",D1639)))</formula>
    </cfRule>
  </conditionalFormatting>
  <conditionalFormatting sqref="D1603 D1607">
    <cfRule type="containsText" dxfId="1509" priority="2358" operator="containsText" text="Pesquisa de Preços">
      <formula>NOT(ISERROR(SEARCH("Pesquisa de Preços",D1603)))</formula>
    </cfRule>
  </conditionalFormatting>
  <conditionalFormatting sqref="D1613">
    <cfRule type="containsText" dxfId="1508" priority="2357" operator="containsText" text="Pesquisa de Preços">
      <formula>NOT(ISERROR(SEARCH("Pesquisa de Preços",D1613)))</formula>
    </cfRule>
  </conditionalFormatting>
  <conditionalFormatting sqref="D1650:D1651">
    <cfRule type="containsText" dxfId="1507" priority="2356" operator="containsText" text="Pesquisa de Preços">
      <formula>NOT(ISERROR(SEARCH("Pesquisa de Preços",D1650)))</formula>
    </cfRule>
  </conditionalFormatting>
  <conditionalFormatting sqref="D1652:D1653">
    <cfRule type="containsText" dxfId="1506" priority="2355" operator="containsText" text="Pesquisa de Preços">
      <formula>NOT(ISERROR(SEARCH("Pesquisa de Preços",D1652)))</formula>
    </cfRule>
  </conditionalFormatting>
  <conditionalFormatting sqref="D1627 D1631">
    <cfRule type="containsText" dxfId="1505" priority="2352" operator="containsText" text="Pesquisa de Preços">
      <formula>NOT(ISERROR(SEARCH("Pesquisa de Preços",D1627)))</formula>
    </cfRule>
  </conditionalFormatting>
  <conditionalFormatting sqref="D1622 D1624:D1625">
    <cfRule type="containsText" dxfId="1504" priority="2351" operator="containsText" text="Pesquisa de Preços">
      <formula>NOT(ISERROR(SEARCH("Pesquisa de Preços",D1622)))</formula>
    </cfRule>
  </conditionalFormatting>
  <conditionalFormatting sqref="D1644 D1647:D1648">
    <cfRule type="containsText" dxfId="1503" priority="2349" operator="containsText" text="Pesquisa de Preços">
      <formula>NOT(ISERROR(SEARCH("Pesquisa de Preços",D1644)))</formula>
    </cfRule>
  </conditionalFormatting>
  <conditionalFormatting sqref="D1747:D1748 D1739:D1741">
    <cfRule type="containsText" dxfId="1502" priority="2341" operator="containsText" text="Pesquisa de Preços">
      <formula>NOT(ISERROR(SEARCH("Pesquisa de Preços",D1739)))</formula>
    </cfRule>
  </conditionalFormatting>
  <conditionalFormatting sqref="D1689 D1693:D1694">
    <cfRule type="containsText" dxfId="1501" priority="2348" operator="containsText" text="Pesquisa de Preços">
      <formula>NOT(ISERROR(SEARCH("Pesquisa de Preços",D1689)))</formula>
    </cfRule>
  </conditionalFormatting>
  <conditionalFormatting sqref="D1683 D1686:D1687">
    <cfRule type="containsText" dxfId="1500" priority="2346" operator="containsText" text="Pesquisa de Preços">
      <formula>NOT(ISERROR(SEARCH("Pesquisa de Preços",D1683)))</formula>
    </cfRule>
  </conditionalFormatting>
  <conditionalFormatting sqref="D1678 D1680:D1681">
    <cfRule type="containsText" dxfId="1499" priority="2345" operator="containsText" text="Pesquisa de Preços">
      <formula>NOT(ISERROR(SEARCH("Pesquisa de Preços",D1678)))</formula>
    </cfRule>
  </conditionalFormatting>
  <conditionalFormatting sqref="D1728:D1729 D1736:D1737">
    <cfRule type="containsText" dxfId="1498" priority="2338" operator="containsText" text="Pesquisa de Preços">
      <formula>NOT(ISERROR(SEARCH("Pesquisa de Preços",D1728)))</formula>
    </cfRule>
  </conditionalFormatting>
  <conditionalFormatting sqref="D1673">
    <cfRule type="containsText" dxfId="1497" priority="2343" operator="containsText" text="Pesquisa de Preços">
      <formula>NOT(ISERROR(SEARCH("Pesquisa de Preços",D1673)))</formula>
    </cfRule>
  </conditionalFormatting>
  <conditionalFormatting sqref="D1668">
    <cfRule type="containsText" dxfId="1496" priority="2344" operator="containsText" text="Pesquisa de Preços">
      <formula>NOT(ISERROR(SEARCH("Pesquisa de Preços",D1668)))</formula>
    </cfRule>
  </conditionalFormatting>
  <conditionalFormatting sqref="D1662 D1665:D1666">
    <cfRule type="containsText" dxfId="1495" priority="2342" operator="containsText" text="Pesquisa de Preços">
      <formula>NOT(ISERROR(SEARCH("Pesquisa de Preços",D1662)))</formula>
    </cfRule>
  </conditionalFormatting>
  <conditionalFormatting sqref="D1758:D1759 D1750:D1751">
    <cfRule type="containsText" dxfId="1494" priority="2340" operator="containsText" text="Pesquisa de Preços">
      <formula>NOT(ISERROR(SEARCH("Pesquisa de Preços",D1750)))</formula>
    </cfRule>
  </conditionalFormatting>
  <conditionalFormatting sqref="D1717:D1718 D1726">
    <cfRule type="containsText" dxfId="1493" priority="2339" operator="containsText" text="Pesquisa de Preços">
      <formula>NOT(ISERROR(SEARCH("Pesquisa de Preços",D1717)))</formula>
    </cfRule>
  </conditionalFormatting>
  <conditionalFormatting sqref="D1703:D1704 D1706:D1707">
    <cfRule type="containsText" dxfId="1492" priority="2337" operator="containsText" text="Pesquisa de Preços">
      <formula>NOT(ISERROR(SEARCH("Pesquisa de Preços",D1703)))</formula>
    </cfRule>
  </conditionalFormatting>
  <conditionalFormatting sqref="D1709">
    <cfRule type="containsText" dxfId="1491" priority="2336" operator="containsText" text="Pesquisa de Preços">
      <formula>NOT(ISERROR(SEARCH("Pesquisa de Preços",D1709)))</formula>
    </cfRule>
  </conditionalFormatting>
  <conditionalFormatting sqref="D1712:D1713">
    <cfRule type="containsText" dxfId="1490" priority="2335" operator="containsText" text="Pesquisa de Preços">
      <formula>NOT(ISERROR(SEARCH("Pesquisa de Preços",D1712)))</formula>
    </cfRule>
  </conditionalFormatting>
  <conditionalFormatting sqref="D1822">
    <cfRule type="containsText" dxfId="1489" priority="2334" operator="containsText" text="Pesquisa de Preços">
      <formula>NOT(ISERROR(SEARCH("Pesquisa de Preços",D1822)))</formula>
    </cfRule>
  </conditionalFormatting>
  <conditionalFormatting sqref="D1848">
    <cfRule type="containsText" dxfId="1488" priority="2328" operator="containsText" text="Pesquisa de Preços">
      <formula>NOT(ISERROR(SEARCH("Pesquisa de Preços",D1848)))</formula>
    </cfRule>
  </conditionalFormatting>
  <conditionalFormatting sqref="D1817">
    <cfRule type="containsText" dxfId="1487" priority="2333" operator="containsText" text="Pesquisa de Preços">
      <formula>NOT(ISERROR(SEARCH("Pesquisa de Preços",D1817)))</formula>
    </cfRule>
  </conditionalFormatting>
  <conditionalFormatting sqref="D1827 D1830:D1831">
    <cfRule type="containsText" dxfId="1486" priority="2332" operator="containsText" text="Pesquisa de Preços">
      <formula>NOT(ISERROR(SEARCH("Pesquisa de Preços",D1827)))</formula>
    </cfRule>
  </conditionalFormatting>
  <conditionalFormatting sqref="D1829">
    <cfRule type="containsText" dxfId="1485" priority="2331" operator="containsText" text="Pesquisa de Preços">
      <formula>NOT(ISERROR(SEARCH("Pesquisa de Preços",D1829)))</formula>
    </cfRule>
  </conditionalFormatting>
  <conditionalFormatting sqref="D1833 D1836:D1837">
    <cfRule type="containsText" dxfId="1484" priority="2330" operator="containsText" text="Pesquisa de Preços">
      <formula>NOT(ISERROR(SEARCH("Pesquisa de Preços",D1833)))</formula>
    </cfRule>
  </conditionalFormatting>
  <conditionalFormatting sqref="D1846:D1847 D1849:D1850">
    <cfRule type="containsText" dxfId="1483" priority="2329" operator="containsText" text="Pesquisa de Preços">
      <formula>NOT(ISERROR(SEARCH("Pesquisa de Preços",D1846)))</formula>
    </cfRule>
  </conditionalFormatting>
  <conditionalFormatting sqref="D1852:D1853 D1855:D1856">
    <cfRule type="containsText" dxfId="1482" priority="2327" operator="containsText" text="Pesquisa de Preços">
      <formula>NOT(ISERROR(SEARCH("Pesquisa de Preços",D1852)))</formula>
    </cfRule>
  </conditionalFormatting>
  <conditionalFormatting sqref="D1860">
    <cfRule type="containsText" dxfId="1481" priority="2323" operator="containsText" text="Pesquisa de Preços">
      <formula>NOT(ISERROR(SEARCH("Pesquisa de Preços",D1860)))</formula>
    </cfRule>
  </conditionalFormatting>
  <conditionalFormatting sqref="D1854">
    <cfRule type="containsText" dxfId="1480" priority="2326" operator="containsText" text="Pesquisa de Preços">
      <formula>NOT(ISERROR(SEARCH("Pesquisa de Preços",D1854)))</formula>
    </cfRule>
  </conditionalFormatting>
  <conditionalFormatting sqref="D1839:D1840 D1844">
    <cfRule type="containsText" dxfId="1479" priority="2325" operator="containsText" text="Pesquisa de Preços">
      <formula>NOT(ISERROR(SEARCH("Pesquisa de Preços",D1839)))</formula>
    </cfRule>
  </conditionalFormatting>
  <conditionalFormatting sqref="D1902">
    <cfRule type="containsText" dxfId="1478" priority="2320" operator="containsText" text="Pesquisa de Preços">
      <formula>NOT(ISERROR(SEARCH("Pesquisa de Preços",D1902)))</formula>
    </cfRule>
  </conditionalFormatting>
  <conditionalFormatting sqref="D1858:D1859 D1861:D1862">
    <cfRule type="containsText" dxfId="1477" priority="2324" operator="containsText" text="Pesquisa de Preços">
      <formula>NOT(ISERROR(SEARCH("Pesquisa de Preços",D1858)))</formula>
    </cfRule>
  </conditionalFormatting>
  <conditionalFormatting sqref="D1864 D1868">
    <cfRule type="containsText" dxfId="1476" priority="2322" operator="containsText" text="Pesquisa de Preços">
      <formula>NOT(ISERROR(SEARCH("Pesquisa de Preços",D1864)))</formula>
    </cfRule>
  </conditionalFormatting>
  <conditionalFormatting sqref="D1900:D1901 D1903:D1904">
    <cfRule type="containsText" dxfId="1475" priority="2321" operator="containsText" text="Pesquisa de Preços">
      <formula>NOT(ISERROR(SEARCH("Pesquisa de Preços",D1900)))</formula>
    </cfRule>
  </conditionalFormatting>
  <conditionalFormatting sqref="D1876:D1877 D1879:D1880">
    <cfRule type="containsText" dxfId="1474" priority="2319" operator="containsText" text="Pesquisa de Preços">
      <formula>NOT(ISERROR(SEARCH("Pesquisa de Preços",D1876)))</formula>
    </cfRule>
  </conditionalFormatting>
  <conditionalFormatting sqref="D1878">
    <cfRule type="containsText" dxfId="1473" priority="2318" operator="containsText" text="Pesquisa de Preços">
      <formula>NOT(ISERROR(SEARCH("Pesquisa de Preços",D1878)))</formula>
    </cfRule>
  </conditionalFormatting>
  <conditionalFormatting sqref="D1894 D1898">
    <cfRule type="containsText" dxfId="1472" priority="2317" operator="containsText" text="Pesquisa de Preços">
      <formula>NOT(ISERROR(SEARCH("Pesquisa de Preços",D1894)))</formula>
    </cfRule>
  </conditionalFormatting>
  <conditionalFormatting sqref="D1870:D1871 D1873:D1874">
    <cfRule type="containsText" dxfId="1471" priority="2316" operator="containsText" text="Pesquisa de Preços">
      <formula>NOT(ISERROR(SEARCH("Pesquisa de Preços",D1870)))</formula>
    </cfRule>
  </conditionalFormatting>
  <conditionalFormatting sqref="D1872">
    <cfRule type="containsText" dxfId="1470" priority="2315" operator="containsText" text="Pesquisa de Preços">
      <formula>NOT(ISERROR(SEARCH("Pesquisa de Preços",D1872)))</formula>
    </cfRule>
  </conditionalFormatting>
  <conditionalFormatting sqref="D1882:D1883 D1885:D1886">
    <cfRule type="containsText" dxfId="1469" priority="2314" operator="containsText" text="Pesquisa de Preços">
      <formula>NOT(ISERROR(SEARCH("Pesquisa de Preços",D1882)))</formula>
    </cfRule>
  </conditionalFormatting>
  <conditionalFormatting sqref="D1908">
    <cfRule type="containsText" dxfId="1468" priority="2310" operator="containsText" text="Pesquisa de Preços">
      <formula>NOT(ISERROR(SEARCH("Pesquisa de Preços",D1908)))</formula>
    </cfRule>
  </conditionalFormatting>
  <conditionalFormatting sqref="D1884">
    <cfRule type="containsText" dxfId="1467" priority="2313" operator="containsText" text="Pesquisa de Preços">
      <formula>NOT(ISERROR(SEARCH("Pesquisa de Preços",D1884)))</formula>
    </cfRule>
  </conditionalFormatting>
  <conditionalFormatting sqref="D1888 D1892">
    <cfRule type="containsText" dxfId="1466" priority="2312" operator="containsText" text="Pesquisa de Preços">
      <formula>NOT(ISERROR(SEARCH("Pesquisa de Preços",D1888)))</formula>
    </cfRule>
  </conditionalFormatting>
  <conditionalFormatting sqref="D1933 D1936:D1937">
    <cfRule type="containsText" dxfId="1465" priority="2304" operator="containsText" text="Pesquisa de Preços">
      <formula>NOT(ISERROR(SEARCH("Pesquisa de Preços",D1933)))</formula>
    </cfRule>
  </conditionalFormatting>
  <conditionalFormatting sqref="D1906:D1907 D1909:D1910">
    <cfRule type="containsText" dxfId="1464" priority="2311" operator="containsText" text="Pesquisa de Preços">
      <formula>NOT(ISERROR(SEARCH("Pesquisa de Preços",D1906)))</formula>
    </cfRule>
  </conditionalFormatting>
  <conditionalFormatting sqref="D1914">
    <cfRule type="containsText" dxfId="1463" priority="2308" operator="containsText" text="Pesquisa de Preços">
      <formula>NOT(ISERROR(SEARCH("Pesquisa de Preços",D1914)))</formula>
    </cfRule>
  </conditionalFormatting>
  <conditionalFormatting sqref="D1912:D1913 D1915:D1916">
    <cfRule type="containsText" dxfId="1462" priority="2309" operator="containsText" text="Pesquisa de Preços">
      <formula>NOT(ISERROR(SEARCH("Pesquisa de Preços",D1912)))</formula>
    </cfRule>
  </conditionalFormatting>
  <conditionalFormatting sqref="D1918">
    <cfRule type="containsText" dxfId="1461" priority="2307" operator="containsText" text="Pesquisa de Preços">
      <formula>NOT(ISERROR(SEARCH("Pesquisa de Preços",D1918)))</formula>
    </cfRule>
  </conditionalFormatting>
  <conditionalFormatting sqref="D1928:D1929 D1931">
    <cfRule type="containsText" dxfId="1460" priority="2306" operator="containsText" text="Pesquisa de Preços">
      <formula>NOT(ISERROR(SEARCH("Pesquisa de Preços",D1928)))</formula>
    </cfRule>
  </conditionalFormatting>
  <conditionalFormatting sqref="D1923">
    <cfRule type="containsText" dxfId="1459" priority="2305" operator="containsText" text="Pesquisa de Preços">
      <formula>NOT(ISERROR(SEARCH("Pesquisa de Preços",D1923)))</formula>
    </cfRule>
  </conditionalFormatting>
  <conditionalFormatting sqref="D1954:D1955 D1957:D1958">
    <cfRule type="containsText" dxfId="1458" priority="2303" operator="containsText" text="Pesquisa de Preços">
      <formula>NOT(ISERROR(SEARCH("Pesquisa de Preços",D1954)))</formula>
    </cfRule>
  </conditionalFormatting>
  <conditionalFormatting sqref="D1956">
    <cfRule type="containsText" dxfId="1457" priority="2302" operator="containsText" text="Pesquisa de Preços">
      <formula>NOT(ISERROR(SEARCH("Pesquisa de Preços",D1956)))</formula>
    </cfRule>
  </conditionalFormatting>
  <conditionalFormatting sqref="D1963:D1964">
    <cfRule type="containsText" dxfId="1456" priority="2301" operator="containsText" text="Pesquisa de Preços">
      <formula>NOT(ISERROR(SEARCH("Pesquisa de Preços",D1963)))</formula>
    </cfRule>
  </conditionalFormatting>
  <conditionalFormatting sqref="D1973:D1974 D1978">
    <cfRule type="containsText" dxfId="1455" priority="2298" operator="containsText" text="Pesquisa de Preços">
      <formula>NOT(ISERROR(SEARCH("Pesquisa de Preços",D1973)))</formula>
    </cfRule>
  </conditionalFormatting>
  <conditionalFormatting sqref="D1976">
    <cfRule type="containsText" dxfId="1454" priority="2297" operator="containsText" text="Pesquisa de Preços">
      <formula>NOT(ISERROR(SEARCH("Pesquisa de Preços",D1976)))</formula>
    </cfRule>
  </conditionalFormatting>
  <conditionalFormatting sqref="D1988:D1989 D1993:D1994">
    <cfRule type="containsText" dxfId="1453" priority="2300" operator="containsText" text="Pesquisa de Preços">
      <formula>NOT(ISERROR(SEARCH("Pesquisa de Preços",D1988)))</formula>
    </cfRule>
  </conditionalFormatting>
  <conditionalFormatting sqref="D1980 D1986">
    <cfRule type="containsText" dxfId="1452" priority="2299" operator="containsText" text="Pesquisa de Preços">
      <formula>NOT(ISERROR(SEARCH("Pesquisa de Preços",D1980)))</formula>
    </cfRule>
  </conditionalFormatting>
  <conditionalFormatting sqref="D1966:D1967 D1971">
    <cfRule type="containsText" dxfId="1451" priority="2296" operator="containsText" text="Pesquisa de Preços">
      <formula>NOT(ISERROR(SEARCH("Pesquisa de Preços",D1966)))</formula>
    </cfRule>
  </conditionalFormatting>
  <conditionalFormatting sqref="D1969">
    <cfRule type="containsText" dxfId="1450" priority="2295" operator="containsText" text="Pesquisa de Preços">
      <formula>NOT(ISERROR(SEARCH("Pesquisa de Preços",D1969)))</formula>
    </cfRule>
  </conditionalFormatting>
  <conditionalFormatting sqref="D2017 D2022">
    <cfRule type="containsText" dxfId="1449" priority="2294" operator="containsText" text="Pesquisa de Preços">
      <formula>NOT(ISERROR(SEARCH("Pesquisa de Preços",D2017)))</formula>
    </cfRule>
  </conditionalFormatting>
  <conditionalFormatting sqref="D2012:D2013">
    <cfRule type="containsText" dxfId="1448" priority="2292" operator="containsText" text="Pesquisa de Preços">
      <formula>NOT(ISERROR(SEARCH("Pesquisa de Preços",D2012)))</formula>
    </cfRule>
  </conditionalFormatting>
  <conditionalFormatting sqref="D2010 D2015">
    <cfRule type="containsText" dxfId="1447" priority="2293" operator="containsText" text="Pesquisa de Preços">
      <formula>NOT(ISERROR(SEARCH("Pesquisa de Preços",D2010)))</formula>
    </cfRule>
  </conditionalFormatting>
  <conditionalFormatting sqref="D2005:D2006">
    <cfRule type="containsText" dxfId="1446" priority="2290" operator="containsText" text="Pesquisa de Preços">
      <formula>NOT(ISERROR(SEARCH("Pesquisa de Preços",D2005)))</formula>
    </cfRule>
  </conditionalFormatting>
  <conditionalFormatting sqref="D2003 D2008">
    <cfRule type="containsText" dxfId="1445" priority="2291" operator="containsText" text="Pesquisa de Preços">
      <formula>NOT(ISERROR(SEARCH("Pesquisa de Preços",D2003)))</formula>
    </cfRule>
  </conditionalFormatting>
  <conditionalFormatting sqref="D1996 D2001">
    <cfRule type="containsText" dxfId="1444" priority="2289" operator="containsText" text="Pesquisa de Preços">
      <formula>NOT(ISERROR(SEARCH("Pesquisa de Preços",D1996)))</formula>
    </cfRule>
  </conditionalFormatting>
  <conditionalFormatting sqref="D2142">
    <cfRule type="containsText" dxfId="1443" priority="2288" operator="containsText" text="Pesquisa de Preços">
      <formula>NOT(ISERROR(SEARCH("Pesquisa de Preços",D2142)))</formula>
    </cfRule>
  </conditionalFormatting>
  <conditionalFormatting sqref="D2144:D2145">
    <cfRule type="containsText" dxfId="1442" priority="2287" operator="containsText" text="Pesquisa de Preços">
      <formula>NOT(ISERROR(SEARCH("Pesquisa de Preços",D2144)))</formula>
    </cfRule>
  </conditionalFormatting>
  <conditionalFormatting sqref="D2136">
    <cfRule type="containsText" dxfId="1441" priority="2286" operator="containsText" text="Pesquisa de Preços">
      <formula>NOT(ISERROR(SEARCH("Pesquisa de Preços",D2136)))</formula>
    </cfRule>
  </conditionalFormatting>
  <conditionalFormatting sqref="D2138">
    <cfRule type="containsText" dxfId="1440" priority="2285" operator="containsText" text="Pesquisa de Preços">
      <formula>NOT(ISERROR(SEARCH("Pesquisa de Preços",D2138)))</formula>
    </cfRule>
  </conditionalFormatting>
  <conditionalFormatting sqref="D2130">
    <cfRule type="containsText" dxfId="1439" priority="2284" operator="containsText" text="Pesquisa de Preços">
      <formula>NOT(ISERROR(SEARCH("Pesquisa de Preços",D2130)))</formula>
    </cfRule>
  </conditionalFormatting>
  <conditionalFormatting sqref="D2132">
    <cfRule type="containsText" dxfId="1438" priority="2283" operator="containsText" text="Pesquisa de Preços">
      <formula>NOT(ISERROR(SEARCH("Pesquisa de Preços",D2132)))</formula>
    </cfRule>
  </conditionalFormatting>
  <conditionalFormatting sqref="D2124">
    <cfRule type="containsText" dxfId="1437" priority="2282" operator="containsText" text="Pesquisa de Preços">
      <formula>NOT(ISERROR(SEARCH("Pesquisa de Preços",D2124)))</formula>
    </cfRule>
  </conditionalFormatting>
  <conditionalFormatting sqref="D2126:D2127">
    <cfRule type="containsText" dxfId="1436" priority="2281" operator="containsText" text="Pesquisa de Preços">
      <formula>NOT(ISERROR(SEARCH("Pesquisa de Preços",D2126)))</formula>
    </cfRule>
  </conditionalFormatting>
  <conditionalFormatting sqref="D2156 D2160:D2162">
    <cfRule type="containsText" dxfId="1435" priority="2280" operator="containsText" text="Pesquisa de Preços">
      <formula>NOT(ISERROR(SEARCH("Pesquisa de Preços",D2156)))</formula>
    </cfRule>
  </conditionalFormatting>
  <conditionalFormatting sqref="D2172 D2176:D2178">
    <cfRule type="containsText" dxfId="1434" priority="2279" operator="containsText" text="Pesquisa de Preços">
      <formula>NOT(ISERROR(SEARCH("Pesquisa de Preços",D2172)))</formula>
    </cfRule>
  </conditionalFormatting>
  <conditionalFormatting sqref="D2152:D2154">
    <cfRule type="containsText" dxfId="1433" priority="2278" operator="containsText" text="Pesquisa de Preços">
      <formula>NOT(ISERROR(SEARCH("Pesquisa de Preços",D2152)))</formula>
    </cfRule>
  </conditionalFormatting>
  <conditionalFormatting sqref="D2184:D2186">
    <cfRule type="containsText" dxfId="1432" priority="2277" operator="containsText" text="Pesquisa de Preços">
      <formula>NOT(ISERROR(SEARCH("Pesquisa de Preços",D2184)))</formula>
    </cfRule>
  </conditionalFormatting>
  <conditionalFormatting sqref="D2062 D2066:D2068">
    <cfRule type="containsText" dxfId="1431" priority="2273" operator="containsText" text="Pesquisa de Preços">
      <formula>NOT(ISERROR(SEARCH("Pesquisa de Preços",D2062)))</formula>
    </cfRule>
  </conditionalFormatting>
  <conditionalFormatting sqref="D2168:D2170">
    <cfRule type="containsText" dxfId="1430" priority="2276" operator="containsText" text="Pesquisa de Preços">
      <formula>NOT(ISERROR(SEARCH("Pesquisa de Preços",D2168)))</formula>
    </cfRule>
  </conditionalFormatting>
  <conditionalFormatting sqref="D2192:D2194">
    <cfRule type="containsText" dxfId="1429" priority="2275" operator="containsText" text="Pesquisa de Preços">
      <formula>NOT(ISERROR(SEARCH("Pesquisa de Preços",D2192)))</formula>
    </cfRule>
  </conditionalFormatting>
  <conditionalFormatting sqref="D2245:D2247 D2249">
    <cfRule type="containsText" dxfId="1428" priority="2250" operator="containsText" text="Pesquisa de Preços">
      <formula>NOT(ISERROR(SEARCH("Pesquisa de Preços",D2245)))</formula>
    </cfRule>
  </conditionalFormatting>
  <conditionalFormatting sqref="D2046 D2050:D2052">
    <cfRule type="containsText" dxfId="1427" priority="2274" operator="containsText" text="Pesquisa de Preços">
      <formula>NOT(ISERROR(SEARCH("Pesquisa de Preços",D2046)))</formula>
    </cfRule>
  </conditionalFormatting>
  <conditionalFormatting sqref="D2054 D2058:D2060">
    <cfRule type="containsText" dxfId="1426" priority="2270" operator="containsText" text="Pesquisa de Preços">
      <formula>NOT(ISERROR(SEARCH("Pesquisa de Preços",D2054)))</formula>
    </cfRule>
  </conditionalFormatting>
  <conditionalFormatting sqref="D2350:D2351 D2353:D2354">
    <cfRule type="containsText" dxfId="1425" priority="2245" operator="containsText" text="Pesquisa de Preços">
      <formula>NOT(ISERROR(SEARCH("Pesquisa de Preços",D2350)))</formula>
    </cfRule>
  </conditionalFormatting>
  <conditionalFormatting sqref="D2038 D2042:D2044">
    <cfRule type="containsText" dxfId="1424" priority="2272" operator="containsText" text="Pesquisa de Preços">
      <formula>NOT(ISERROR(SEARCH("Pesquisa de Preços",D2038)))</formula>
    </cfRule>
  </conditionalFormatting>
  <conditionalFormatting sqref="D2070 D2074:D2076">
    <cfRule type="containsText" dxfId="1423" priority="2271" operator="containsText" text="Pesquisa de Preços">
      <formula>NOT(ISERROR(SEARCH("Pesquisa de Preços",D2070)))</formula>
    </cfRule>
  </conditionalFormatting>
  <conditionalFormatting sqref="D2329">
    <cfRule type="containsText" dxfId="1422" priority="2247" operator="containsText" text="Pesquisa de Preços">
      <formula>NOT(ISERROR(SEARCH("Pesquisa de Preços",D2329)))</formula>
    </cfRule>
  </conditionalFormatting>
  <conditionalFormatting sqref="D2346">
    <cfRule type="containsText" dxfId="1421" priority="2242" operator="containsText" text="Pesquisa de Preços">
      <formula>NOT(ISERROR(SEARCH("Pesquisa de Preços",D2346)))</formula>
    </cfRule>
  </conditionalFormatting>
  <conditionalFormatting sqref="D2078 D2082:D2084">
    <cfRule type="containsText" dxfId="1420" priority="2269" operator="containsText" text="Pesquisa de Preços">
      <formula>NOT(ISERROR(SEARCH("Pesquisa de Preços",D2078)))</formula>
    </cfRule>
  </conditionalFormatting>
  <conditionalFormatting sqref="D2258">
    <cfRule type="containsText" dxfId="1419" priority="2257" operator="containsText" text="Pesquisa de Preços">
      <formula>NOT(ISERROR(SEARCH("Pesquisa de Preços",D2258)))</formula>
    </cfRule>
  </conditionalFormatting>
  <conditionalFormatting sqref="D2036">
    <cfRule type="containsText" dxfId="1418" priority="2268" operator="containsText" text="Pesquisa de Preços">
      <formula>NOT(ISERROR(SEARCH("Pesquisa de Preços",D2036)))</formula>
    </cfRule>
  </conditionalFormatting>
  <conditionalFormatting sqref="D2114:D2116">
    <cfRule type="containsText" dxfId="1417" priority="2267" operator="containsText" text="Pesquisa de Preços">
      <formula>NOT(ISERROR(SEARCH("Pesquisa de Preços",D2114)))</formula>
    </cfRule>
  </conditionalFormatting>
  <conditionalFormatting sqref="D2106:D2108">
    <cfRule type="containsText" dxfId="1416" priority="2266" operator="containsText" text="Pesquisa de Preços">
      <formula>NOT(ISERROR(SEARCH("Pesquisa de Preços",D2106)))</formula>
    </cfRule>
  </conditionalFormatting>
  <conditionalFormatting sqref="D2221">
    <cfRule type="containsText" dxfId="1415" priority="2260" operator="containsText" text="Pesquisa de Preços">
      <formula>NOT(ISERROR(SEARCH("Pesquisa de Preços",D2221)))</formula>
    </cfRule>
  </conditionalFormatting>
  <conditionalFormatting sqref="D2100">
    <cfRule type="containsText" dxfId="1414" priority="2265" operator="containsText" text="Pesquisa de Preços">
      <formula>NOT(ISERROR(SEARCH("Pesquisa de Preços",D2100)))</formula>
    </cfRule>
  </conditionalFormatting>
  <conditionalFormatting sqref="D2024:D2025 D2027:D2028">
    <cfRule type="containsText" dxfId="1413" priority="2264" operator="containsText" text="Pesquisa de Preços">
      <formula>NOT(ISERROR(SEARCH("Pesquisa de Preços",D2024)))</formula>
    </cfRule>
  </conditionalFormatting>
  <conditionalFormatting sqref="D2118">
    <cfRule type="containsText" dxfId="1412" priority="2263" operator="containsText" text="Pesquisa de Preços">
      <formula>NOT(ISERROR(SEARCH("Pesquisa de Preços",D2118)))</formula>
    </cfRule>
  </conditionalFormatting>
  <conditionalFormatting sqref="D2212:D2213">
    <cfRule type="containsText" dxfId="1411" priority="2262" operator="containsText" text="Pesquisa de Preços">
      <formula>NOT(ISERROR(SEARCH("Pesquisa de Preços",D2212)))</formula>
    </cfRule>
  </conditionalFormatting>
  <conditionalFormatting sqref="D2217:D2218">
    <cfRule type="containsText" dxfId="1410" priority="2261" operator="containsText" text="Pesquisa de Preços">
      <formula>NOT(ISERROR(SEARCH("Pesquisa de Preços",D2217)))</formula>
    </cfRule>
  </conditionalFormatting>
  <conditionalFormatting sqref="D2236 D2239:D2240">
    <cfRule type="containsText" dxfId="1409" priority="2259" operator="containsText" text="Pesquisa de Preços">
      <formula>NOT(ISERROR(SEARCH("Pesquisa de Preços",D2236)))</formula>
    </cfRule>
  </conditionalFormatting>
  <conditionalFormatting sqref="D2230 D2233:D2234">
    <cfRule type="containsText" dxfId="1408" priority="2258" operator="containsText" text="Pesquisa de Preços">
      <formula>NOT(ISERROR(SEARCH("Pesquisa de Preços",D2230)))</formula>
    </cfRule>
  </conditionalFormatting>
  <conditionalFormatting sqref="D2312">
    <cfRule type="containsText" dxfId="1407" priority="2255" operator="containsText" text="Pesquisa de Preços">
      <formula>NOT(ISERROR(SEARCH("Pesquisa de Preços",D2312)))</formula>
    </cfRule>
  </conditionalFormatting>
  <conditionalFormatting sqref="D2261">
    <cfRule type="containsText" dxfId="1406" priority="2256" operator="containsText" text="Pesquisa de Preços">
      <formula>NOT(ISERROR(SEARCH("Pesquisa de Preços",D2261)))</formula>
    </cfRule>
  </conditionalFormatting>
  <conditionalFormatting sqref="D2300">
    <cfRule type="containsText" dxfId="1405" priority="2254" operator="containsText" text="Pesquisa de Preços">
      <formula>NOT(ISERROR(SEARCH("Pesquisa de Preços",D2300)))</formula>
    </cfRule>
  </conditionalFormatting>
  <conditionalFormatting sqref="D2288 D2298">
    <cfRule type="containsText" dxfId="1404" priority="2252" operator="containsText" text="Pesquisa de Preços">
      <formula>NOT(ISERROR(SEARCH("Pesquisa de Preços",D2288)))</formula>
    </cfRule>
  </conditionalFormatting>
  <conditionalFormatting sqref="D2242:D2243">
    <cfRule type="containsText" dxfId="1403" priority="2251" operator="containsText" text="Pesquisa de Preços">
      <formula>NOT(ISERROR(SEARCH("Pesquisa de Preços",D2242)))</formula>
    </cfRule>
  </conditionalFormatting>
  <conditionalFormatting sqref="D2331:D2332">
    <cfRule type="containsText" dxfId="1402" priority="2249" operator="containsText" text="Pesquisa de Preços">
      <formula>NOT(ISERROR(SEARCH("Pesquisa de Preços",D2331)))</formula>
    </cfRule>
  </conditionalFormatting>
  <conditionalFormatting sqref="D2335">
    <cfRule type="containsText" dxfId="1401" priority="2248" operator="containsText" text="Pesquisa de Preços">
      <formula>NOT(ISERROR(SEARCH("Pesquisa de Preços",D2335)))</formula>
    </cfRule>
  </conditionalFormatting>
  <conditionalFormatting sqref="D2362">
    <cfRule type="containsText" dxfId="1400" priority="2246" operator="containsText" text="Pesquisa de Preços">
      <formula>NOT(ISERROR(SEARCH("Pesquisa de Preços",D2362)))</formula>
    </cfRule>
  </conditionalFormatting>
  <conditionalFormatting sqref="D2352">
    <cfRule type="containsText" dxfId="1399" priority="2244" operator="containsText" text="Pesquisa de Preços">
      <formula>NOT(ISERROR(SEARCH("Pesquisa de Preços",D2352)))</formula>
    </cfRule>
  </conditionalFormatting>
  <conditionalFormatting sqref="D2344:D2345 D2347:D2348">
    <cfRule type="containsText" dxfId="1398" priority="2243" operator="containsText" text="Pesquisa de Preços">
      <formula>NOT(ISERROR(SEARCH("Pesquisa de Preços",D2344)))</formula>
    </cfRule>
  </conditionalFormatting>
  <conditionalFormatting sqref="D2356:D2357 D2359:D2360">
    <cfRule type="containsText" dxfId="1397" priority="2241" operator="containsText" text="Pesquisa de Preços">
      <formula>NOT(ISERROR(SEARCH("Pesquisa de Preços",D2356)))</formula>
    </cfRule>
  </conditionalFormatting>
  <conditionalFormatting sqref="D2358">
    <cfRule type="containsText" dxfId="1396" priority="2240" operator="containsText" text="Pesquisa de Preços">
      <formula>NOT(ISERROR(SEARCH("Pesquisa de Preços",D2358)))</formula>
    </cfRule>
  </conditionalFormatting>
  <conditionalFormatting sqref="D2338 D2341:D2342">
    <cfRule type="containsText" dxfId="1395" priority="2239" operator="containsText" text="Pesquisa de Preços">
      <formula>NOT(ISERROR(SEARCH("Pesquisa de Preços",D2338)))</formula>
    </cfRule>
  </conditionalFormatting>
  <conditionalFormatting sqref="D2340">
    <cfRule type="containsText" dxfId="1394" priority="2238" operator="containsText" text="Pesquisa de Preços">
      <formula>NOT(ISERROR(SEARCH("Pesquisa de Preços",D2340)))</formula>
    </cfRule>
  </conditionalFormatting>
  <conditionalFormatting sqref="D2367:D2370">
    <cfRule type="containsText" dxfId="1393" priority="2237" operator="containsText" text="Pesquisa de Preços">
      <formula>NOT(ISERROR(SEARCH("Pesquisa de Preços",D2367)))</formula>
    </cfRule>
  </conditionalFormatting>
  <conditionalFormatting sqref="D2372 D2374:D2375">
    <cfRule type="containsText" dxfId="1392" priority="2236" operator="containsText" text="Pesquisa de Preços">
      <formula>NOT(ISERROR(SEARCH("Pesquisa de Preços",D2372)))</formula>
    </cfRule>
  </conditionalFormatting>
  <conditionalFormatting sqref="D898:D899 D901:D903">
    <cfRule type="containsText" dxfId="1391" priority="2235" operator="containsText" text="Pesquisa de Preços">
      <formula>NOT(ISERROR(SEARCH("Pesquisa de Preços",D898)))</formula>
    </cfRule>
  </conditionalFormatting>
  <conditionalFormatting sqref="D858:D859 D862:D863">
    <cfRule type="containsText" dxfId="1390" priority="2230" operator="containsText" text="Pesquisa de Preços">
      <formula>NOT(ISERROR(SEARCH("Pesquisa de Preços",D858)))</formula>
    </cfRule>
  </conditionalFormatting>
  <conditionalFormatting sqref="D879:D880 D883:D884">
    <cfRule type="containsText" dxfId="1389" priority="2234" operator="containsText" text="Pesquisa de Preços">
      <formula>NOT(ISERROR(SEARCH("Pesquisa de Preços",D879)))</formula>
    </cfRule>
  </conditionalFormatting>
  <conditionalFormatting sqref="D881:D882">
    <cfRule type="containsText" dxfId="1388" priority="2233" operator="containsText" text="Pesquisa de Preços">
      <formula>NOT(ISERROR(SEARCH("Pesquisa de Preços",D881)))</formula>
    </cfRule>
  </conditionalFormatting>
  <conditionalFormatting sqref="D886:D887 D890:D891">
    <cfRule type="containsText" dxfId="1387" priority="2232" operator="containsText" text="Pesquisa de Preços">
      <formula>NOT(ISERROR(SEARCH("Pesquisa de Preços",D886)))</formula>
    </cfRule>
  </conditionalFormatting>
  <conditionalFormatting sqref="D888:D889">
    <cfRule type="containsText" dxfId="1386" priority="2231" operator="containsText" text="Pesquisa de Preços">
      <formula>NOT(ISERROR(SEARCH("Pesquisa de Preços",D888)))</formula>
    </cfRule>
  </conditionalFormatting>
  <conditionalFormatting sqref="D860:D861">
    <cfRule type="containsText" dxfId="1385" priority="2229" operator="containsText" text="Pesquisa de Preços">
      <formula>NOT(ISERROR(SEARCH("Pesquisa de Preços",D860)))</formula>
    </cfRule>
  </conditionalFormatting>
  <conditionalFormatting sqref="D847 D849:D850">
    <cfRule type="containsText" dxfId="1384" priority="2228" operator="containsText" text="Pesquisa de Preços">
      <formula>NOT(ISERROR(SEARCH("Pesquisa de Preços",D847)))</formula>
    </cfRule>
  </conditionalFormatting>
  <conditionalFormatting sqref="D852 D855:D856">
    <cfRule type="containsText" dxfId="1383" priority="2227" operator="containsText" text="Pesquisa de Preços">
      <formula>NOT(ISERROR(SEARCH("Pesquisa de Preços",D852)))</formula>
    </cfRule>
  </conditionalFormatting>
  <conditionalFormatting sqref="D871">
    <cfRule type="containsText" dxfId="1382" priority="2226" operator="containsText" text="Pesquisa de Preços">
      <formula>NOT(ISERROR(SEARCH("Pesquisa de Preços",D871)))</formula>
    </cfRule>
  </conditionalFormatting>
  <conditionalFormatting sqref="D865">
    <cfRule type="containsText" dxfId="1381" priority="2225" operator="containsText" text="Pesquisa de Preços">
      <formula>NOT(ISERROR(SEARCH("Pesquisa de Preços",D865)))</formula>
    </cfRule>
  </conditionalFormatting>
  <conditionalFormatting sqref="D895">
    <cfRule type="containsText" dxfId="1380" priority="2223" operator="containsText" text="Pesquisa de Preços">
      <formula>NOT(ISERROR(SEARCH("Pesquisa de Preços",D895)))</formula>
    </cfRule>
  </conditionalFormatting>
  <conditionalFormatting sqref="D893:D894">
    <cfRule type="containsText" dxfId="1379" priority="2224" operator="containsText" text="Pesquisa de Preços">
      <formula>NOT(ISERROR(SEARCH("Pesquisa de Preços",D893)))</formula>
    </cfRule>
  </conditionalFormatting>
  <conditionalFormatting sqref="D905:D906">
    <cfRule type="containsText" dxfId="1378" priority="2222" operator="containsText" text="Pesquisa de Preços">
      <formula>NOT(ISERROR(SEARCH("Pesquisa de Preços",D905)))</formula>
    </cfRule>
  </conditionalFormatting>
  <conditionalFormatting sqref="D2383:D2384">
    <cfRule type="containsText" dxfId="1377" priority="2221" operator="containsText" text="Pesquisa de Preços">
      <formula>NOT(ISERROR(SEARCH("Pesquisa de Preços",D2383)))</formula>
    </cfRule>
  </conditionalFormatting>
  <conditionalFormatting sqref="D2391 D2394 D2396">
    <cfRule type="containsText" dxfId="1376" priority="2220" operator="containsText" text="Pesquisa de Preços">
      <formula>NOT(ISERROR(SEARCH("Pesquisa de Preços",D2391)))</formula>
    </cfRule>
  </conditionalFormatting>
  <conditionalFormatting sqref="D2377:D2378 D2380:D2381">
    <cfRule type="containsText" dxfId="1375" priority="2219" operator="containsText" text="Pesquisa de Preços">
      <formula>NOT(ISERROR(SEARCH("Pesquisa de Preços",D2377)))</formula>
    </cfRule>
  </conditionalFormatting>
  <conditionalFormatting sqref="D2404 D2408:D2409">
    <cfRule type="containsText" dxfId="1374" priority="2217" operator="containsText" text="Pesquisa de Preços">
      <formula>NOT(ISERROR(SEARCH("Pesquisa de Preços",D2404)))</formula>
    </cfRule>
  </conditionalFormatting>
  <conditionalFormatting sqref="D2379">
    <cfRule type="containsText" dxfId="1373" priority="2218" operator="containsText" text="Pesquisa de Preços">
      <formula>NOT(ISERROR(SEARCH("Pesquisa de Preços",D2379)))</formula>
    </cfRule>
  </conditionalFormatting>
  <conditionalFormatting sqref="D2398">
    <cfRule type="containsText" dxfId="1372" priority="2216" operator="containsText" text="Pesquisa de Preços">
      <formula>NOT(ISERROR(SEARCH("Pesquisa de Preços",D2398)))</formula>
    </cfRule>
  </conditionalFormatting>
  <conditionalFormatting sqref="D1775:D1776 D1779:D1780">
    <cfRule type="containsText" dxfId="1371" priority="2214" operator="containsText" text="Pesquisa de Preços">
      <formula>NOT(ISERROR(SEARCH("Pesquisa de Preços",D1775)))</formula>
    </cfRule>
  </conditionalFormatting>
  <conditionalFormatting sqref="D1777:D1778">
    <cfRule type="containsText" dxfId="1370" priority="2213" operator="containsText" text="Pesquisa de Preços">
      <formula>NOT(ISERROR(SEARCH("Pesquisa de Preços",D1777)))</formula>
    </cfRule>
  </conditionalFormatting>
  <conditionalFormatting sqref="D1789:D1790 D1793:D1794">
    <cfRule type="containsText" dxfId="1369" priority="2211" operator="containsText" text="Pesquisa de Preços">
      <formula>NOT(ISERROR(SEARCH("Pesquisa de Preços",D1789)))</formula>
    </cfRule>
  </conditionalFormatting>
  <conditionalFormatting sqref="D1791:D1792">
    <cfRule type="containsText" dxfId="1368" priority="2210" operator="containsText" text="Pesquisa de Preços">
      <formula>NOT(ISERROR(SEARCH("Pesquisa de Preços",D1791)))</formula>
    </cfRule>
  </conditionalFormatting>
  <conditionalFormatting sqref="D1803:D1804 D1807:D1808">
    <cfRule type="containsText" dxfId="1367" priority="2208" operator="containsText" text="Pesquisa de Preços">
      <formula>NOT(ISERROR(SEARCH("Pesquisa de Preços",D1803)))</formula>
    </cfRule>
  </conditionalFormatting>
  <conditionalFormatting sqref="D1805:D1806">
    <cfRule type="containsText" dxfId="1366" priority="2207" operator="containsText" text="Pesquisa de Preços">
      <formula>NOT(ISERROR(SEARCH("Pesquisa de Preços",D1805)))</formula>
    </cfRule>
  </conditionalFormatting>
  <conditionalFormatting sqref="D1761:D1762 D1765:D1766">
    <cfRule type="containsText" dxfId="1365" priority="2205" operator="containsText" text="Pesquisa de Preços">
      <formula>NOT(ISERROR(SEARCH("Pesquisa de Preços",D1761)))</formula>
    </cfRule>
  </conditionalFormatting>
  <conditionalFormatting sqref="D1763:D1764">
    <cfRule type="containsText" dxfId="1364" priority="2204" operator="containsText" text="Pesquisa de Preços">
      <formula>NOT(ISERROR(SEARCH("Pesquisa de Preços",D1763)))</formula>
    </cfRule>
  </conditionalFormatting>
  <conditionalFormatting sqref="D1768:D1769 D1772:D1773">
    <cfRule type="containsText" dxfId="1363" priority="2202" operator="containsText" text="Pesquisa de Preços">
      <formula>NOT(ISERROR(SEARCH("Pesquisa de Preços",D1768)))</formula>
    </cfRule>
  </conditionalFormatting>
  <conditionalFormatting sqref="D593 D597">
    <cfRule type="containsText" dxfId="1362" priority="2140" operator="containsText" text="Pesquisa de Preços">
      <formula>NOT(ISERROR(SEARCH("Pesquisa de Preços",D593)))</formula>
    </cfRule>
  </conditionalFormatting>
  <conditionalFormatting sqref="D1770:D1771">
    <cfRule type="containsText" dxfId="1361" priority="2201" operator="containsText" text="Pesquisa de Preços">
      <formula>NOT(ISERROR(SEARCH("Pesquisa de Preços",D1770)))</formula>
    </cfRule>
  </conditionalFormatting>
  <conditionalFormatting sqref="D1786:D1787 D1782:D1783">
    <cfRule type="containsText" dxfId="1360" priority="2199" operator="containsText" text="Pesquisa de Preços">
      <formula>NOT(ISERROR(SEARCH("Pesquisa de Preços",D1782)))</formula>
    </cfRule>
  </conditionalFormatting>
  <conditionalFormatting sqref="D1784:D1785">
    <cfRule type="containsText" dxfId="1359" priority="2198" operator="containsText" text="Pesquisa de Preços">
      <formula>NOT(ISERROR(SEARCH("Pesquisa de Preços",D1784)))</formula>
    </cfRule>
  </conditionalFormatting>
  <conditionalFormatting sqref="D1796:D1797 D1800:D1801">
    <cfRule type="containsText" dxfId="1358" priority="2197" operator="containsText" text="Pesquisa de Preços">
      <formula>NOT(ISERROR(SEARCH("Pesquisa de Preços",D1796)))</formula>
    </cfRule>
  </conditionalFormatting>
  <conditionalFormatting sqref="D1798:D1799">
    <cfRule type="containsText" dxfId="1357" priority="2196" operator="containsText" text="Pesquisa de Preços">
      <formula>NOT(ISERROR(SEARCH("Pesquisa de Preços",D1798)))</formula>
    </cfRule>
  </conditionalFormatting>
  <conditionalFormatting sqref="D1175">
    <cfRule type="containsText" dxfId="1356" priority="2195" operator="containsText" text="Pesquisa de Preços">
      <formula>NOT(ISERROR(SEARCH("Pesquisa de Preços",D1175)))</formula>
    </cfRule>
  </conditionalFormatting>
  <conditionalFormatting sqref="D1865 D1867">
    <cfRule type="containsText" dxfId="1355" priority="2194" operator="containsText" text="Pesquisa de Preços">
      <formula>NOT(ISERROR(SEARCH("Pesquisa de Preços",D1865)))</formula>
    </cfRule>
  </conditionalFormatting>
  <conditionalFormatting sqref="D1866">
    <cfRule type="containsText" dxfId="1354" priority="2193" operator="containsText" text="Pesquisa de Preços">
      <formula>NOT(ISERROR(SEARCH("Pesquisa de Preços",D1866)))</formula>
    </cfRule>
  </conditionalFormatting>
  <conditionalFormatting sqref="D1985">
    <cfRule type="containsText" dxfId="1353" priority="2192" operator="containsText" text="Pesquisa de Preços">
      <formula>NOT(ISERROR(SEARCH("Pesquisa de Preços",D1985)))</formula>
    </cfRule>
  </conditionalFormatting>
  <conditionalFormatting sqref="D2019:D2020">
    <cfRule type="containsText" dxfId="1352" priority="2191" operator="containsText" text="Pesquisa de Preços">
      <formula>NOT(ISERROR(SEARCH("Pesquisa de Preços",D2019)))</formula>
    </cfRule>
  </conditionalFormatting>
  <conditionalFormatting sqref="D1998:D1999">
    <cfRule type="containsText" dxfId="1351" priority="2190" operator="containsText" text="Pesquisa de Preços">
      <formula>NOT(ISERROR(SEARCH("Pesquisa de Preços",D1998)))</formula>
    </cfRule>
  </conditionalFormatting>
  <conditionalFormatting sqref="D2098:D2099">
    <cfRule type="containsText" dxfId="1350" priority="2189" operator="containsText" text="Pesquisa de Preços">
      <formula>NOT(ISERROR(SEARCH("Pesquisa de Preços",D2098)))</formula>
    </cfRule>
  </conditionalFormatting>
  <conditionalFormatting sqref="D2034:D2035">
    <cfRule type="containsText" dxfId="1349" priority="2188" operator="containsText" text="Pesquisa de Preços">
      <formula>NOT(ISERROR(SEARCH("Pesquisa de Preços",D2034)))</formula>
    </cfRule>
  </conditionalFormatting>
  <conditionalFormatting sqref="D830">
    <cfRule type="containsText" dxfId="1348" priority="2115" operator="containsText" text="Pesquisa de Preços">
      <formula>NOT(ISERROR(SEARCH("Pesquisa de Preços",D830)))</formula>
    </cfRule>
  </conditionalFormatting>
  <conditionalFormatting sqref="D831">
    <cfRule type="containsText" dxfId="1347" priority="2114" operator="containsText" text="Pesquisa de Preços">
      <formula>NOT(ISERROR(SEARCH("Pesquisa de Preços",D831)))</formula>
    </cfRule>
  </conditionalFormatting>
  <conditionalFormatting sqref="D1300">
    <cfRule type="containsText" dxfId="1346" priority="2110" operator="containsText" text="Pesquisa de Preços">
      <formula>NOT(ISERROR(SEARCH("Pesquisa de Preços",D1300)))</formula>
    </cfRule>
  </conditionalFormatting>
  <conditionalFormatting sqref="D1162">
    <cfRule type="containsText" dxfId="1345" priority="2107" operator="containsText" text="Pesquisa de Preços">
      <formula>NOT(ISERROR(SEARCH("Pesquisa de Preços",D1162)))</formula>
    </cfRule>
  </conditionalFormatting>
  <conditionalFormatting sqref="D1354">
    <cfRule type="containsText" dxfId="1344" priority="2109" operator="containsText" text="Pesquisa de Preços">
      <formula>NOT(ISERROR(SEARCH("Pesquisa de Preços",D1354)))</formula>
    </cfRule>
  </conditionalFormatting>
  <conditionalFormatting sqref="D1385">
    <cfRule type="containsText" dxfId="1343" priority="2103" operator="containsText" text="Pesquisa de Preços">
      <formula>NOT(ISERROR(SEARCH("Pesquisa de Preços",D1385)))</formula>
    </cfRule>
  </conditionalFormatting>
  <conditionalFormatting sqref="D206">
    <cfRule type="containsText" dxfId="1342" priority="2104" operator="containsText" text="Pesquisa de Preços">
      <formula>NOT(ISERROR(SEARCH("Pesquisa de Preços",D206)))</formula>
    </cfRule>
  </conditionalFormatting>
  <conditionalFormatting sqref="D1640">
    <cfRule type="containsText" dxfId="1341" priority="2100" operator="containsText" text="Pesquisa de Preços">
      <formula>NOT(ISERROR(SEARCH("Pesquisa de Preços",D1640)))</formula>
    </cfRule>
  </conditionalFormatting>
  <conditionalFormatting sqref="D1690">
    <cfRule type="containsText" dxfId="1340" priority="2099" operator="containsText" text="Pesquisa de Preços">
      <formula>NOT(ISERROR(SEARCH("Pesquisa de Preços",D1690)))</formula>
    </cfRule>
  </conditionalFormatting>
  <conditionalFormatting sqref="D1691">
    <cfRule type="containsText" dxfId="1339" priority="2098" operator="containsText" text="Pesquisa de Preços">
      <formula>NOT(ISERROR(SEARCH("Pesquisa de Preços",D1691)))</formula>
    </cfRule>
  </conditionalFormatting>
  <conditionalFormatting sqref="D1617">
    <cfRule type="containsText" dxfId="1338" priority="2096" operator="containsText" text="Pesquisa de Preços">
      <formula>NOT(ISERROR(SEARCH("Pesquisa de Preços",D1617)))</formula>
    </cfRule>
  </conditionalFormatting>
  <conditionalFormatting sqref="D1692">
    <cfRule type="containsText" dxfId="1337" priority="2094" operator="containsText" text="Pesquisa de Preços">
      <formula>NOT(ISERROR(SEARCH("Pesquisa de Preços",D1692)))</formula>
    </cfRule>
  </conditionalFormatting>
  <conditionalFormatting sqref="D821">
    <cfRule type="containsText" dxfId="1336" priority="2187" operator="containsText" text="Pesquisa de Preços">
      <formula>NOT(ISERROR(SEARCH("Pesquisa de Preços",D821)))</formula>
    </cfRule>
  </conditionalFormatting>
  <conditionalFormatting sqref="D822">
    <cfRule type="containsText" dxfId="1335" priority="2186" operator="containsText" text="Pesquisa de Preços">
      <formula>NOT(ISERROR(SEARCH("Pesquisa de Preços",D822)))</formula>
    </cfRule>
  </conditionalFormatting>
  <conditionalFormatting sqref="D54">
    <cfRule type="containsText" dxfId="1334" priority="2169" operator="containsText" text="Pesquisa de Preços">
      <formula>NOT(ISERROR(SEARCH("Pesquisa de Preços",D54)))</formula>
    </cfRule>
  </conditionalFormatting>
  <conditionalFormatting sqref="D449">
    <cfRule type="containsText" dxfId="1333" priority="2185" operator="containsText" text="Pesquisa de Preços">
      <formula>NOT(ISERROR(SEARCH("Pesquisa de Preços",D449)))</formula>
    </cfRule>
  </conditionalFormatting>
  <conditionalFormatting sqref="D448">
    <cfRule type="containsText" dxfId="1332" priority="2184" operator="containsText" text="Pesquisa de Preços">
      <formula>NOT(ISERROR(SEARCH("Pesquisa de Preços",D448)))</formula>
    </cfRule>
  </conditionalFormatting>
  <conditionalFormatting sqref="D447">
    <cfRule type="containsText" dxfId="1331" priority="2183" operator="containsText" text="Pesquisa de Preços">
      <formula>NOT(ISERROR(SEARCH("Pesquisa de Preços",D447)))</formula>
    </cfRule>
  </conditionalFormatting>
  <conditionalFormatting sqref="D205">
    <cfRule type="containsText" dxfId="1330" priority="2182" operator="containsText" text="Pesquisa de Preços">
      <formula>NOT(ISERROR(SEARCH("Pesquisa de Preços",D205)))</formula>
    </cfRule>
  </conditionalFormatting>
  <conditionalFormatting sqref="D103:D104">
    <cfRule type="containsText" dxfId="1329" priority="2181" operator="containsText" text="Pesquisa de Preços">
      <formula>NOT(ISERROR(SEARCH("Pesquisa de Preços",D103)))</formula>
    </cfRule>
  </conditionalFormatting>
  <conditionalFormatting sqref="D422:D423">
    <cfRule type="containsText" dxfId="1328" priority="2180" operator="containsText" text="Pesquisa de Preços">
      <formula>NOT(ISERROR(SEARCH("Pesquisa de Preços",D422)))</formula>
    </cfRule>
  </conditionalFormatting>
  <conditionalFormatting sqref="D424:D426">
    <cfRule type="containsText" dxfId="1327" priority="2179" operator="containsText" text="Pesquisa de Preços">
      <formula>NOT(ISERROR(SEARCH("Pesquisa de Preços",D424)))</formula>
    </cfRule>
  </conditionalFormatting>
  <conditionalFormatting sqref="D619 D623">
    <cfRule type="containsText" dxfId="1326" priority="2178" operator="containsText" text="Pesquisa de Preços">
      <formula>NOT(ISERROR(SEARCH("Pesquisa de Preços",D619)))</formula>
    </cfRule>
  </conditionalFormatting>
  <conditionalFormatting sqref="D592 D598">
    <cfRule type="containsText" dxfId="1325" priority="2176" operator="containsText" text="Pesquisa de Preços">
      <formula>NOT(ISERROR(SEARCH("Pesquisa de Preços",D592)))</formula>
    </cfRule>
  </conditionalFormatting>
  <conditionalFormatting sqref="D641:D642 D645:D646">
    <cfRule type="containsText" dxfId="1324" priority="2174" operator="containsText" text="Pesquisa de Preços">
      <formula>NOT(ISERROR(SEARCH("Pesquisa de Preços",D641)))</formula>
    </cfRule>
  </conditionalFormatting>
  <conditionalFormatting sqref="D643:D644">
    <cfRule type="containsText" dxfId="1323" priority="2173" operator="containsText" text="Pesquisa de Preços">
      <formula>NOT(ISERROR(SEARCH("Pesquisa de Preços",D643)))</formula>
    </cfRule>
  </conditionalFormatting>
  <conditionalFormatting sqref="D1724">
    <cfRule type="containsText" dxfId="1322" priority="2080" operator="containsText" text="Pesquisa de Preços">
      <formula>NOT(ISERROR(SEARCH("Pesquisa de Preços",D1724)))</formula>
    </cfRule>
  </conditionalFormatting>
  <conditionalFormatting sqref="D225">
    <cfRule type="containsText" dxfId="1321" priority="2172" operator="containsText" text="Pesquisa de Preços">
      <formula>NOT(ISERROR(SEARCH("Pesquisa de Preços",D225)))</formula>
    </cfRule>
  </conditionalFormatting>
  <conditionalFormatting sqref="D151">
    <cfRule type="containsText" dxfId="1320" priority="2171" operator="containsText" text="Pesquisa de Preços">
      <formula>NOT(ISERROR(SEARCH("Pesquisa de Preços",D151)))</formula>
    </cfRule>
  </conditionalFormatting>
  <conditionalFormatting sqref="D163">
    <cfRule type="containsText" dxfId="1319" priority="2170" operator="containsText" text="Pesquisa de Preços">
      <formula>NOT(ISERROR(SEARCH("Pesquisa de Preços",D163)))</formula>
    </cfRule>
  </conditionalFormatting>
  <conditionalFormatting sqref="D55:D57">
    <cfRule type="containsText" dxfId="1318" priority="2168" operator="containsText" text="Pesquisa de Preços">
      <formula>NOT(ISERROR(SEARCH("Pesquisa de Preços",D55)))</formula>
    </cfRule>
  </conditionalFormatting>
  <conditionalFormatting sqref="D30:D31">
    <cfRule type="containsText" dxfId="1317" priority="2167" operator="containsText" text="Pesquisa de Preços">
      <formula>NOT(ISERROR(SEARCH("Pesquisa de Preços",D30)))</formula>
    </cfRule>
  </conditionalFormatting>
  <conditionalFormatting sqref="D25:D26">
    <cfRule type="containsText" dxfId="1316" priority="2166" operator="containsText" text="Pesquisa de Preços">
      <formula>NOT(ISERROR(SEARCH("Pesquisa de Preços",D25)))</formula>
    </cfRule>
  </conditionalFormatting>
  <conditionalFormatting sqref="D180">
    <cfRule type="containsText" dxfId="1315" priority="2165" operator="containsText" text="Pesquisa de Preços">
      <formula>NOT(ISERROR(SEARCH("Pesquisa de Preços",D180)))</formula>
    </cfRule>
  </conditionalFormatting>
  <conditionalFormatting sqref="D127:D128">
    <cfRule type="containsText" dxfId="1314" priority="2164" operator="containsText" text="Pesquisa de Preços">
      <formula>NOT(ISERROR(SEARCH("Pesquisa de Preços",D127)))</formula>
    </cfRule>
  </conditionalFormatting>
  <conditionalFormatting sqref="D1925">
    <cfRule type="containsText" dxfId="1313" priority="2072" operator="containsText" text="Pesquisa de Preços">
      <formula>NOT(ISERROR(SEARCH("Pesquisa de Preços",D1925)))</formula>
    </cfRule>
  </conditionalFormatting>
  <conditionalFormatting sqref="D84">
    <cfRule type="containsText" dxfId="1312" priority="2163" operator="containsText" text="Pesquisa de Preços">
      <formula>NOT(ISERROR(SEARCH("Pesquisa de Preços",D84)))</formula>
    </cfRule>
  </conditionalFormatting>
  <conditionalFormatting sqref="D85">
    <cfRule type="containsText" dxfId="1311" priority="2162" operator="containsText" text="Pesquisa de Preços">
      <formula>NOT(ISERROR(SEARCH("Pesquisa de Preços",D85)))</formula>
    </cfRule>
  </conditionalFormatting>
  <conditionalFormatting sqref="D61">
    <cfRule type="containsText" dxfId="1310" priority="2161" operator="containsText" text="Pesquisa de Preços">
      <formula>NOT(ISERROR(SEARCH("Pesquisa de Preços",D61)))</formula>
    </cfRule>
  </conditionalFormatting>
  <conditionalFormatting sqref="D62">
    <cfRule type="containsText" dxfId="1309" priority="2160" operator="containsText" text="Pesquisa de Preços">
      <formula>NOT(ISERROR(SEARCH("Pesquisa de Preços",D62)))</formula>
    </cfRule>
  </conditionalFormatting>
  <conditionalFormatting sqref="D2363">
    <cfRule type="containsText" dxfId="1308" priority="2069" operator="containsText" text="Pesquisa de Preços">
      <formula>NOT(ISERROR(SEARCH("Pesquisa de Preços",D2363)))</formula>
    </cfRule>
  </conditionalFormatting>
  <conditionalFormatting sqref="D310">
    <cfRule type="containsText" dxfId="1307" priority="2159" operator="containsText" text="Pesquisa de Preços">
      <formula>NOT(ISERROR(SEARCH("Pesquisa de Preços",D310)))</formula>
    </cfRule>
  </conditionalFormatting>
  <conditionalFormatting sqref="D296">
    <cfRule type="containsText" dxfId="1306" priority="2157" operator="containsText" text="Pesquisa de Preços">
      <formula>NOT(ISERROR(SEARCH("Pesquisa de Preços",D296)))</formula>
    </cfRule>
  </conditionalFormatting>
  <conditionalFormatting sqref="D456">
    <cfRule type="containsText" dxfId="1305" priority="2156" operator="containsText" text="Pesquisa de Preços">
      <formula>NOT(ISERROR(SEARCH("Pesquisa de Preços",D456)))</formula>
    </cfRule>
  </conditionalFormatting>
  <conditionalFormatting sqref="D466">
    <cfRule type="containsText" dxfId="1304" priority="2155" operator="containsText" text="Pesquisa de Preços">
      <formula>NOT(ISERROR(SEARCH("Pesquisa de Preços",D466)))</formula>
    </cfRule>
  </conditionalFormatting>
  <conditionalFormatting sqref="D626">
    <cfRule type="containsText" dxfId="1303" priority="2154" operator="containsText" text="Pesquisa de Preços">
      <formula>NOT(ISERROR(SEARCH("Pesquisa de Preços",D626)))</formula>
    </cfRule>
  </conditionalFormatting>
  <conditionalFormatting sqref="D627:D629">
    <cfRule type="containsText" dxfId="1302" priority="2153" operator="containsText" text="Pesquisa de Preços">
      <formula>NOT(ISERROR(SEARCH("Pesquisa de Preços",D627)))</formula>
    </cfRule>
  </conditionalFormatting>
  <conditionalFormatting sqref="D734:D735">
    <cfRule type="containsText" dxfId="1301" priority="2152" operator="containsText" text="Pesquisa de Preços">
      <formula>NOT(ISERROR(SEARCH("Pesquisa de Preços",D734)))</formula>
    </cfRule>
  </conditionalFormatting>
  <conditionalFormatting sqref="D733">
    <cfRule type="containsText" dxfId="1300" priority="2151" operator="containsText" text="Pesquisa de Preços">
      <formula>NOT(ISERROR(SEARCH("Pesquisa de Preços",D733)))</formula>
    </cfRule>
  </conditionalFormatting>
  <conditionalFormatting sqref="D998">
    <cfRule type="containsText" dxfId="1299" priority="2150" operator="containsText" text="Pesquisa de Preços">
      <formula>NOT(ISERROR(SEARCH("Pesquisa de Preços",D998)))</formula>
    </cfRule>
  </conditionalFormatting>
  <conditionalFormatting sqref="D610 D617">
    <cfRule type="containsText" dxfId="1298" priority="2134" operator="containsText" text="Pesquisa de Preços">
      <formula>NOT(ISERROR(SEARCH("Pesquisa de Preços",D610)))</formula>
    </cfRule>
  </conditionalFormatting>
  <conditionalFormatting sqref="D738">
    <cfRule type="containsText" dxfId="1297" priority="2130" operator="containsText" text="Pesquisa de Preços">
      <formula>NOT(ISERROR(SEARCH("Pesquisa de Preços",D738)))</formula>
    </cfRule>
  </conditionalFormatting>
  <conditionalFormatting sqref="D594:D596">
    <cfRule type="containsText" dxfId="1296" priority="2139" operator="containsText" text="Pesquisa de Preços">
      <formula>NOT(ISERROR(SEARCH("Pesquisa de Preços",D594)))</formula>
    </cfRule>
  </conditionalFormatting>
  <conditionalFormatting sqref="D1629:D1630">
    <cfRule type="containsText" dxfId="1295" priority="2145" operator="containsText" text="Pesquisa de Preços">
      <formula>NOT(ISERROR(SEARCH("Pesquisa de Preços",D1629)))</formula>
    </cfRule>
  </conditionalFormatting>
  <conditionalFormatting sqref="D1605">
    <cfRule type="containsText" dxfId="1294" priority="2149" operator="containsText" text="Pesquisa de Preços">
      <formula>NOT(ISERROR(SEARCH("Pesquisa de Preços",D1605)))</formula>
    </cfRule>
  </conditionalFormatting>
  <conditionalFormatting sqref="D1634">
    <cfRule type="containsText" dxfId="1293" priority="2148" operator="containsText" text="Pesquisa de Preços">
      <formula>NOT(ISERROR(SEARCH("Pesquisa de Preços",D1634)))</formula>
    </cfRule>
  </conditionalFormatting>
  <conditionalFormatting sqref="D1635:D1636">
    <cfRule type="containsText" dxfId="1292" priority="2147" operator="containsText" text="Pesquisa de Preços">
      <formula>NOT(ISERROR(SEARCH("Pesquisa de Preços",D1635)))</formula>
    </cfRule>
  </conditionalFormatting>
  <conditionalFormatting sqref="D1628">
    <cfRule type="containsText" dxfId="1291" priority="2146" operator="containsText" text="Pesquisa de Preços">
      <formula>NOT(ISERROR(SEARCH("Pesquisa de Preços",D1628)))</formula>
    </cfRule>
  </conditionalFormatting>
  <conditionalFormatting sqref="D1895 D1897">
    <cfRule type="containsText" dxfId="1290" priority="2144" operator="containsText" text="Pesquisa de Preços">
      <formula>NOT(ISERROR(SEARCH("Pesquisa de Preços",D1895)))</formula>
    </cfRule>
  </conditionalFormatting>
  <conditionalFormatting sqref="D1896">
    <cfRule type="containsText" dxfId="1289" priority="2143" operator="containsText" text="Pesquisa de Preços">
      <formula>NOT(ISERROR(SEARCH("Pesquisa de Preços",D1896)))</formula>
    </cfRule>
  </conditionalFormatting>
  <conditionalFormatting sqref="D1889 D1891">
    <cfRule type="containsText" dxfId="1288" priority="2142" operator="containsText" text="Pesquisa de Preços">
      <formula>NOT(ISERROR(SEARCH("Pesquisa de Preços",D1889)))</formula>
    </cfRule>
  </conditionalFormatting>
  <conditionalFormatting sqref="D1890">
    <cfRule type="containsText" dxfId="1287" priority="2141" operator="containsText" text="Pesquisa de Preços">
      <formula>NOT(ISERROR(SEARCH("Pesquisa de Preços",D1890)))</formula>
    </cfRule>
  </conditionalFormatting>
  <conditionalFormatting sqref="D381:D391">
    <cfRule type="containsText" dxfId="1286" priority="2137" operator="containsText" text="Pesquisa de Preços">
      <formula>NOT(ISERROR(SEARCH("Pesquisa de Preços",D381)))</formula>
    </cfRule>
  </conditionalFormatting>
  <conditionalFormatting sqref="D380">
    <cfRule type="containsText" dxfId="1285" priority="2138" operator="containsText" text="Pesquisa de Preços">
      <formula>NOT(ISERROR(SEARCH("Pesquisa de Preços",D380)))</formula>
    </cfRule>
  </conditionalFormatting>
  <conditionalFormatting sqref="D1072:D1073">
    <cfRule type="containsText" dxfId="1284" priority="2038" operator="containsText" text="Pesquisa de Preços">
      <formula>NOT(ISERROR(SEARCH("Pesquisa de Preços",D1072)))</formula>
    </cfRule>
  </conditionalFormatting>
  <conditionalFormatting sqref="D608">
    <cfRule type="containsText" dxfId="1283" priority="2136" operator="containsText" text="Pesquisa de Preços">
      <formula>NOT(ISERROR(SEARCH("Pesquisa de Preços",D608)))</formula>
    </cfRule>
  </conditionalFormatting>
  <conditionalFormatting sqref="D600">
    <cfRule type="containsText" dxfId="1282" priority="2135" operator="containsText" text="Pesquisa de Preços">
      <formula>NOT(ISERROR(SEARCH("Pesquisa de Preços",D600)))</formula>
    </cfRule>
  </conditionalFormatting>
  <conditionalFormatting sqref="D1085:D1087 D1089">
    <cfRule type="containsText" dxfId="1281" priority="2037" operator="containsText" text="Pesquisa de Preços">
      <formula>NOT(ISERROR(SEARCH("Pesquisa de Preços",D1085)))</formula>
    </cfRule>
  </conditionalFormatting>
  <conditionalFormatting sqref="D601">
    <cfRule type="containsText" dxfId="1280" priority="2133" operator="containsText" text="Pesquisa de Preços">
      <formula>NOT(ISERROR(SEARCH("Pesquisa de Preços",D601)))</formula>
    </cfRule>
  </conditionalFormatting>
  <conditionalFormatting sqref="D611">
    <cfRule type="containsText" dxfId="1279" priority="2132" operator="containsText" text="Pesquisa de Preços">
      <formula>NOT(ISERROR(SEARCH("Pesquisa de Preços",D611)))</formula>
    </cfRule>
  </conditionalFormatting>
  <conditionalFormatting sqref="D634">
    <cfRule type="containsText" dxfId="1278" priority="2127" operator="containsText" text="Pesquisa de Preços">
      <formula>NOT(ISERROR(SEARCH("Pesquisa de Preços",D634)))</formula>
    </cfRule>
  </conditionalFormatting>
  <conditionalFormatting sqref="D633 D638:D639">
    <cfRule type="containsText" dxfId="1277" priority="2128" operator="containsText" text="Pesquisa de Preços">
      <formula>NOT(ISERROR(SEARCH("Pesquisa de Preços",D633)))</formula>
    </cfRule>
  </conditionalFormatting>
  <conditionalFormatting sqref="D1258 D1262:D1263">
    <cfRule type="containsText" dxfId="1276" priority="2124" operator="containsText" text="Pesquisa de Preços">
      <formula>NOT(ISERROR(SEARCH("Pesquisa de Preços",D1258)))</formula>
    </cfRule>
  </conditionalFormatting>
  <conditionalFormatting sqref="D635:D637">
    <cfRule type="containsText" dxfId="1275" priority="2126" operator="containsText" text="Pesquisa de Preços">
      <formula>NOT(ISERROR(SEARCH("Pesquisa de Preços",D635)))</formula>
    </cfRule>
  </conditionalFormatting>
  <conditionalFormatting sqref="D1260">
    <cfRule type="containsText" dxfId="1274" priority="2123" operator="containsText" text="Pesquisa de Preços">
      <formula>NOT(ISERROR(SEARCH("Pesquisa de Preços",D1260)))</formula>
    </cfRule>
  </conditionalFormatting>
  <conditionalFormatting sqref="D1160 D1164:D1165">
    <cfRule type="containsText" dxfId="1273" priority="2121" operator="containsText" text="Pesquisa de Preços">
      <formula>NOT(ISERROR(SEARCH("Pesquisa de Preços",D1160)))</formula>
    </cfRule>
  </conditionalFormatting>
  <conditionalFormatting sqref="D1216 D1220:D1221">
    <cfRule type="containsText" dxfId="1272" priority="2119" operator="containsText" text="Pesquisa de Preços">
      <formula>NOT(ISERROR(SEARCH("Pesquisa de Preços",D1216)))</formula>
    </cfRule>
  </conditionalFormatting>
  <conditionalFormatting sqref="D1219">
    <cfRule type="containsText" dxfId="1271" priority="2118" operator="containsText" text="Pesquisa de Preços">
      <formula>NOT(ISERROR(SEARCH("Pesquisa de Preços",D1219)))</formula>
    </cfRule>
  </conditionalFormatting>
  <conditionalFormatting sqref="D673">
    <cfRule type="containsText" dxfId="1270" priority="2117" operator="containsText" text="Pesquisa de Preços">
      <formula>NOT(ISERROR(SEARCH("Pesquisa de Preços",D673)))</formula>
    </cfRule>
  </conditionalFormatting>
  <conditionalFormatting sqref="D739">
    <cfRule type="containsText" dxfId="1269" priority="2116" operator="containsText" text="Pesquisa de Preços">
      <formula>NOT(ISERROR(SEARCH("Pesquisa de Preços",D739)))</formula>
    </cfRule>
  </conditionalFormatting>
  <conditionalFormatting sqref="D866 D868:D869">
    <cfRule type="containsText" dxfId="1268" priority="2113" operator="containsText" text="Pesquisa de Preços">
      <formula>NOT(ISERROR(SEARCH("Pesquisa de Preços",D866)))</formula>
    </cfRule>
  </conditionalFormatting>
  <conditionalFormatting sqref="D867">
    <cfRule type="containsText" dxfId="1267" priority="2112" operator="containsText" text="Pesquisa de Preços">
      <formula>NOT(ISERROR(SEARCH("Pesquisa de Preços",D867)))</formula>
    </cfRule>
  </conditionalFormatting>
  <conditionalFormatting sqref="D1301">
    <cfRule type="containsText" dxfId="1266" priority="2111" operator="containsText" text="Pesquisa de Preços">
      <formula>NOT(ISERROR(SEARCH("Pesquisa de Preços",D1301)))</formula>
    </cfRule>
  </conditionalFormatting>
  <conditionalFormatting sqref="D1355">
    <cfRule type="containsText" dxfId="1265" priority="2108" operator="containsText" text="Pesquisa de Preços">
      <formula>NOT(ISERROR(SEARCH("Pesquisa de Preços",D1355)))</formula>
    </cfRule>
  </conditionalFormatting>
  <conditionalFormatting sqref="D1514">
    <cfRule type="containsText" dxfId="1264" priority="2036" operator="containsText" text="Pesquisa de Preços">
      <formula>NOT(ISERROR(SEARCH("Pesquisa de Preços",D1514)))</formula>
    </cfRule>
  </conditionalFormatting>
  <conditionalFormatting sqref="D207">
    <cfRule type="containsText" dxfId="1263" priority="2105" operator="containsText" text="Pesquisa de Preços">
      <formula>NOT(ISERROR(SEARCH("Pesquisa de Preços",D207)))</formula>
    </cfRule>
  </conditionalFormatting>
  <conditionalFormatting sqref="D1623">
    <cfRule type="containsText" dxfId="1262" priority="2101" operator="containsText" text="Pesquisa de Preços">
      <formula>NOT(ISERROR(SEARCH("Pesquisa de Preços",D1623)))</formula>
    </cfRule>
  </conditionalFormatting>
  <conditionalFormatting sqref="D1616">
    <cfRule type="containsText" dxfId="1261" priority="2097" operator="containsText" text="Pesquisa de Preços">
      <formula>NOT(ISERROR(SEARCH("Pesquisa de Preços",D1616)))</formula>
    </cfRule>
  </conditionalFormatting>
  <conditionalFormatting sqref="D1679">
    <cfRule type="containsText" dxfId="1260" priority="2095" operator="containsText" text="Pesquisa de Preços">
      <formula>NOT(ISERROR(SEARCH("Pesquisa de Preços",D1679)))</formula>
    </cfRule>
  </conditionalFormatting>
  <conditionalFormatting sqref="D1618">
    <cfRule type="containsText" dxfId="1259" priority="2093" operator="containsText" text="Pesquisa de Preços">
      <formula>NOT(ISERROR(SEARCH("Pesquisa de Preços",D1618)))</formula>
    </cfRule>
  </conditionalFormatting>
  <conditionalFormatting sqref="D141">
    <cfRule type="containsText" dxfId="1258" priority="2092" operator="containsText" text="Pesquisa de Preços">
      <formula>NOT(ISERROR(SEARCH("Pesquisa de Preços",D141)))</formula>
    </cfRule>
  </conditionalFormatting>
  <conditionalFormatting sqref="D803">
    <cfRule type="containsText" dxfId="1257" priority="2091" operator="containsText" text="Pesquisa de Preços">
      <formula>NOT(ISERROR(SEARCH("Pesquisa de Preços",D803)))</formula>
    </cfRule>
  </conditionalFormatting>
  <conditionalFormatting sqref="D1006">
    <cfRule type="containsText" dxfId="1256" priority="2090" operator="containsText" text="Pesquisa de Preços">
      <formula>NOT(ISERROR(SEARCH("Pesquisa de Preços",D1006)))</formula>
    </cfRule>
  </conditionalFormatting>
  <conditionalFormatting sqref="D1011">
    <cfRule type="containsText" dxfId="1255" priority="2089" operator="containsText" text="Pesquisa de Preços">
      <formula>NOT(ISERROR(SEARCH("Pesquisa de Preços",D1011)))</formula>
    </cfRule>
  </conditionalFormatting>
  <conditionalFormatting sqref="D89">
    <cfRule type="containsText" dxfId="1254" priority="2088" operator="containsText" text="Pesquisa de Preços">
      <formula>NOT(ISERROR(SEARCH("Pesquisa de Preços",D89)))</formula>
    </cfRule>
  </conditionalFormatting>
  <conditionalFormatting sqref="D90">
    <cfRule type="containsText" dxfId="1253" priority="2087" operator="containsText" text="Pesquisa de Preços">
      <formula>NOT(ISERROR(SEARCH("Pesquisa de Preços",D90)))</formula>
    </cfRule>
  </conditionalFormatting>
  <conditionalFormatting sqref="D1462">
    <cfRule type="containsText" dxfId="1252" priority="2035" operator="containsText" text="Pesquisa de Preços">
      <formula>NOT(ISERROR(SEARCH("Pesquisa de Preços",D1462)))</formula>
    </cfRule>
  </conditionalFormatting>
  <conditionalFormatting sqref="D113">
    <cfRule type="containsText" dxfId="1251" priority="2086" operator="containsText" text="Pesquisa de Preços">
      <formula>NOT(ISERROR(SEARCH("Pesquisa de Preços",D113)))</formula>
    </cfRule>
  </conditionalFormatting>
  <conditionalFormatting sqref="D114">
    <cfRule type="containsText" dxfId="1250" priority="2085" operator="containsText" text="Pesquisa de Preços">
      <formula>NOT(ISERROR(SEARCH("Pesquisa de Preços",D114)))</formula>
    </cfRule>
  </conditionalFormatting>
  <conditionalFormatting sqref="D1485">
    <cfRule type="containsText" dxfId="1249" priority="2034" operator="containsText" text="Pesquisa de Preços">
      <formula>NOT(ISERROR(SEARCH("Pesquisa de Preços",D1485)))</formula>
    </cfRule>
  </conditionalFormatting>
  <conditionalFormatting sqref="D1697:D1698">
    <cfRule type="containsText" dxfId="1248" priority="2084" operator="containsText" text="Pesquisa de Preços">
      <formula>NOT(ISERROR(SEARCH("Pesquisa de Preços",D1697)))</formula>
    </cfRule>
  </conditionalFormatting>
  <conditionalFormatting sqref="D1663">
    <cfRule type="containsText" dxfId="1247" priority="2083" operator="containsText" text="Pesquisa de Preços">
      <formula>NOT(ISERROR(SEARCH("Pesquisa de Preços",D1663)))</formula>
    </cfRule>
  </conditionalFormatting>
  <conditionalFormatting sqref="D1746">
    <cfRule type="containsText" dxfId="1246" priority="2082" operator="containsText" text="Pesquisa de Preços">
      <formula>NOT(ISERROR(SEARCH("Pesquisa de Preços",D1746)))</formula>
    </cfRule>
  </conditionalFormatting>
  <conditionalFormatting sqref="D1725">
    <cfRule type="containsText" dxfId="1245" priority="2081" operator="containsText" text="Pesquisa de Preços">
      <formula>NOT(ISERROR(SEARCH("Pesquisa de Preços",D1725)))</formula>
    </cfRule>
  </conditionalFormatting>
  <conditionalFormatting sqref="D1710">
    <cfRule type="containsText" dxfId="1244" priority="2079" operator="containsText" text="Pesquisa de Preços">
      <formula>NOT(ISERROR(SEARCH("Pesquisa de Preços",D1710)))</formula>
    </cfRule>
  </conditionalFormatting>
  <conditionalFormatting sqref="D1711">
    <cfRule type="containsText" dxfId="1243" priority="2078" operator="containsText" text="Pesquisa de Preços">
      <formula>NOT(ISERROR(SEARCH("Pesquisa de Preços",D1711)))</formula>
    </cfRule>
  </conditionalFormatting>
  <conditionalFormatting sqref="D1828">
    <cfRule type="containsText" dxfId="1242" priority="2077" operator="containsText" text="Pesquisa de Preços">
      <formula>NOT(ISERROR(SEARCH("Pesquisa de Preços",D1828)))</formula>
    </cfRule>
  </conditionalFormatting>
  <conditionalFormatting sqref="D1835">
    <cfRule type="containsText" dxfId="1241" priority="2076" operator="containsText" text="Pesquisa de Preços">
      <formula>NOT(ISERROR(SEARCH("Pesquisa de Preços",D1835)))</formula>
    </cfRule>
  </conditionalFormatting>
  <conditionalFormatting sqref="D1834">
    <cfRule type="containsText" dxfId="1240" priority="2075" operator="containsText" text="Pesquisa de Preços">
      <formula>NOT(ISERROR(SEARCH("Pesquisa de Preços",D1834)))</formula>
    </cfRule>
  </conditionalFormatting>
  <conditionalFormatting sqref="D1842">
    <cfRule type="containsText" dxfId="1239" priority="2074" operator="containsText" text="Pesquisa de Preços">
      <formula>NOT(ISERROR(SEARCH("Pesquisa de Preços",D1842)))</formula>
    </cfRule>
  </conditionalFormatting>
  <conditionalFormatting sqref="D1841">
    <cfRule type="containsText" dxfId="1238" priority="2073" operator="containsText" text="Pesquisa de Preços">
      <formula>NOT(ISERROR(SEARCH("Pesquisa de Preços",D1841)))</formula>
    </cfRule>
  </conditionalFormatting>
  <conditionalFormatting sqref="D1924">
    <cfRule type="containsText" dxfId="1237" priority="2071" operator="containsText" text="Pesquisa de Preços">
      <formula>NOT(ISERROR(SEARCH("Pesquisa de Preços",D1924)))</formula>
    </cfRule>
  </conditionalFormatting>
  <conditionalFormatting sqref="D842">
    <cfRule type="containsText" dxfId="1236" priority="2070" operator="containsText" text="Pesquisa de Preços">
      <formula>NOT(ISERROR(SEARCH("Pesquisa de Preços",D842)))</formula>
    </cfRule>
  </conditionalFormatting>
  <conditionalFormatting sqref="D2400">
    <cfRule type="containsText" dxfId="1235" priority="2068" operator="containsText" text="Pesquisa de Preços">
      <formula>NOT(ISERROR(SEARCH("Pesquisa de Preços",D2400)))</formula>
    </cfRule>
  </conditionalFormatting>
  <conditionalFormatting sqref="D2399">
    <cfRule type="containsText" dxfId="1234" priority="2067" operator="containsText" text="Pesquisa de Preços">
      <formula>NOT(ISERROR(SEARCH("Pesquisa de Preços",D2399)))</formula>
    </cfRule>
  </conditionalFormatting>
  <conditionalFormatting sqref="D2260">
    <cfRule type="containsText" dxfId="1233" priority="2066" operator="containsText" text="Pesquisa de Preços">
      <formula>NOT(ISERROR(SEARCH("Pesquisa de Preços",D2260)))</formula>
    </cfRule>
  </conditionalFormatting>
  <conditionalFormatting sqref="D2259">
    <cfRule type="containsText" dxfId="1232" priority="2065" operator="containsText" text="Pesquisa de Preços">
      <formula>NOT(ISERROR(SEARCH("Pesquisa de Preços",D2259)))</formula>
    </cfRule>
  </conditionalFormatting>
  <conditionalFormatting sqref="D2392">
    <cfRule type="containsText" dxfId="1231" priority="2064" operator="containsText" text="Pesquisa de Preços">
      <formula>NOT(ISERROR(SEARCH("Pesquisa de Preços",D2392)))</formula>
    </cfRule>
  </conditionalFormatting>
  <conditionalFormatting sqref="D2393">
    <cfRule type="containsText" dxfId="1230" priority="2063" operator="containsText" text="Pesquisa de Preços">
      <formula>NOT(ISERROR(SEARCH("Pesquisa de Preços",D2393)))</formula>
    </cfRule>
  </conditionalFormatting>
  <conditionalFormatting sqref="D132">
    <cfRule type="containsText" dxfId="1229" priority="2062" operator="containsText" text="Pesquisa de Preços">
      <formula>NOT(ISERROR(SEARCH("Pesquisa de Preços",D132)))</formula>
    </cfRule>
  </conditionalFormatting>
  <conditionalFormatting sqref="D1645">
    <cfRule type="containsText" dxfId="1228" priority="2061" operator="containsText" text="Pesquisa de Preços">
      <formula>NOT(ISERROR(SEARCH("Pesquisa de Preços",D1645)))</formula>
    </cfRule>
  </conditionalFormatting>
  <conditionalFormatting sqref="D1646">
    <cfRule type="containsText" dxfId="1227" priority="2060" operator="containsText" text="Pesquisa de Preços">
      <formula>NOT(ISERROR(SEARCH("Pesquisa de Preços",D1646)))</formula>
    </cfRule>
  </conditionalFormatting>
  <conditionalFormatting sqref="D1962">
    <cfRule type="containsText" dxfId="1226" priority="2033" operator="containsText" text="Pesquisa de Preços">
      <formula>NOT(ISERROR(SEARCH("Pesquisa de Preços",D1962)))</formula>
    </cfRule>
  </conditionalFormatting>
  <conditionalFormatting sqref="D80">
    <cfRule type="containsText" dxfId="1225" priority="2059" operator="containsText" text="Pesquisa de Preços">
      <formula>NOT(ISERROR(SEARCH("Pesquisa de Preços",D80)))</formula>
    </cfRule>
  </conditionalFormatting>
  <conditionalFormatting sqref="D1136">
    <cfRule type="containsText" dxfId="1224" priority="2058" operator="containsText" text="Pesquisa de Preços">
      <formula>NOT(ISERROR(SEARCH("Pesquisa de Preços",D1136)))</formula>
    </cfRule>
  </conditionalFormatting>
  <conditionalFormatting sqref="D402:D412">
    <cfRule type="containsText" dxfId="1223" priority="2057" operator="containsText" text="Pesquisa de Preços">
      <formula>NOT(ISERROR(SEARCH("Pesquisa de Preços",D402)))</formula>
    </cfRule>
  </conditionalFormatting>
  <conditionalFormatting sqref="D416">
    <cfRule type="containsText" dxfId="1222" priority="2056" operator="containsText" text="Pesquisa de Preços">
      <formula>NOT(ISERROR(SEARCH("Pesquisa de Preços",D416)))</formula>
    </cfRule>
  </conditionalFormatting>
  <conditionalFormatting sqref="D417">
    <cfRule type="containsText" dxfId="1221" priority="2055" operator="containsText" text="Pesquisa de Preços">
      <formula>NOT(ISERROR(SEARCH("Pesquisa de Preços",D417)))</formula>
    </cfRule>
  </conditionalFormatting>
  <conditionalFormatting sqref="D416">
    <cfRule type="containsText" dxfId="1220" priority="2054" operator="containsText" text="Pesquisa de Preços">
      <formula>NOT(ISERROR(SEARCH("Pesquisa de Preços",D416)))</formula>
    </cfRule>
  </conditionalFormatting>
  <conditionalFormatting sqref="D417">
    <cfRule type="containsText" dxfId="1219" priority="2053" operator="containsText" text="Pesquisa de Preços">
      <formula>NOT(ISERROR(SEARCH("Pesquisa de Preços",D417)))</formula>
    </cfRule>
  </conditionalFormatting>
  <conditionalFormatting sqref="D418:D419">
    <cfRule type="containsText" dxfId="1218" priority="2052" operator="containsText" text="Pesquisa de Preços">
      <formula>NOT(ISERROR(SEARCH("Pesquisa de Preços",D418)))</formula>
    </cfRule>
  </conditionalFormatting>
  <conditionalFormatting sqref="D194">
    <cfRule type="containsText" dxfId="1217" priority="2051" operator="containsText" text="Pesquisa de Preços">
      <formula>NOT(ISERROR(SEARCH("Pesquisa de Preços",D194)))</formula>
    </cfRule>
  </conditionalFormatting>
  <conditionalFormatting sqref="D835:D839">
    <cfRule type="containsText" dxfId="1216" priority="2050" operator="containsText" text="Pesquisa de Preços">
      <formula>NOT(ISERROR(SEARCH("Pesquisa de Preços",D835)))</formula>
    </cfRule>
  </conditionalFormatting>
  <conditionalFormatting sqref="D835:D839">
    <cfRule type="containsText" dxfId="1215" priority="2049" operator="containsText" text="Pesquisa de Preços">
      <formula>NOT(ISERROR(SEARCH("Pesquisa de Preços",D835)))</formula>
    </cfRule>
  </conditionalFormatting>
  <conditionalFormatting sqref="D1934">
    <cfRule type="containsText" dxfId="1214" priority="2048" operator="containsText" text="Pesquisa de Preços">
      <formula>NOT(ISERROR(SEARCH("Pesquisa de Preços",D1934)))</formula>
    </cfRule>
  </conditionalFormatting>
  <conditionalFormatting sqref="D1935">
    <cfRule type="containsText" dxfId="1213" priority="2047" operator="containsText" text="Pesquisa de Preços">
      <formula>NOT(ISERROR(SEARCH("Pesquisa de Preços",D1935)))</formula>
    </cfRule>
  </conditionalFormatting>
  <conditionalFormatting sqref="D813">
    <cfRule type="containsText" dxfId="1212" priority="2046" operator="containsText" text="Pesquisa de Preços">
      <formula>NOT(ISERROR(SEARCH("Pesquisa de Preços",D813)))</formula>
    </cfRule>
  </conditionalFormatting>
  <conditionalFormatting sqref="D770">
    <cfRule type="containsText" dxfId="1211" priority="2045" operator="containsText" text="Pesquisa de Preços">
      <formula>NOT(ISERROR(SEARCH("Pesquisa de Preços",D770)))</formula>
    </cfRule>
  </conditionalFormatting>
  <conditionalFormatting sqref="D769">
    <cfRule type="containsText" dxfId="1210" priority="2044" operator="containsText" text="Pesquisa de Preços">
      <formula>NOT(ISERROR(SEARCH("Pesquisa de Preços",D769)))</formula>
    </cfRule>
  </conditionalFormatting>
  <conditionalFormatting sqref="D853">
    <cfRule type="containsText" dxfId="1209" priority="2043" operator="containsText" text="Pesquisa de Preços">
      <formula>NOT(ISERROR(SEARCH("Pesquisa de Preços",D853)))</formula>
    </cfRule>
  </conditionalFormatting>
  <conditionalFormatting sqref="D872">
    <cfRule type="containsText" dxfId="1208" priority="2042" operator="containsText" text="Pesquisa de Preços">
      <formula>NOT(ISERROR(SEARCH("Pesquisa de Preços",D872)))</formula>
    </cfRule>
  </conditionalFormatting>
  <conditionalFormatting sqref="D874:D875">
    <cfRule type="containsText" dxfId="1207" priority="2041" operator="containsText" text="Pesquisa de Preços">
      <formula>NOT(ISERROR(SEARCH("Pesquisa de Preços",D874)))</formula>
    </cfRule>
  </conditionalFormatting>
  <conditionalFormatting sqref="D848">
    <cfRule type="containsText" dxfId="1206" priority="2040" operator="containsText" text="Pesquisa de Preços">
      <formula>NOT(ISERROR(SEARCH("Pesquisa de Preços",D848)))</formula>
    </cfRule>
  </conditionalFormatting>
  <conditionalFormatting sqref="G2911">
    <cfRule type="notContainsText" dxfId="1205" priority="2032" operator="notContains" text="Sinapi">
      <formula>ISERROR(SEARCH("Sinapi",G2911))</formula>
    </cfRule>
  </conditionalFormatting>
  <conditionalFormatting sqref="G2916">
    <cfRule type="notContainsText" dxfId="1204" priority="2031" operator="notContains" text="Sinapi">
      <formula>ISERROR(SEARCH("Sinapi",G2916))</formula>
    </cfRule>
  </conditionalFormatting>
  <conditionalFormatting sqref="G2921">
    <cfRule type="notContainsText" dxfId="1203" priority="2030" operator="notContains" text="Sinapi">
      <formula>ISERROR(SEARCH("Sinapi",G2921))</formula>
    </cfRule>
  </conditionalFormatting>
  <conditionalFormatting sqref="G2926">
    <cfRule type="notContainsText" dxfId="1202" priority="2029" operator="notContains" text="Sinapi">
      <formula>ISERROR(SEARCH("Sinapi",G2926))</formula>
    </cfRule>
  </conditionalFormatting>
  <conditionalFormatting sqref="G2931">
    <cfRule type="notContainsText" dxfId="1201" priority="2028" operator="notContains" text="Sinapi">
      <formula>ISERROR(SEARCH("Sinapi",G2931))</formula>
    </cfRule>
  </conditionalFormatting>
  <conditionalFormatting sqref="G2936">
    <cfRule type="notContainsText" dxfId="1200" priority="2027" operator="notContains" text="Sinapi">
      <formula>ISERROR(SEARCH("Sinapi",G2936))</formula>
    </cfRule>
  </conditionalFormatting>
  <conditionalFormatting sqref="G2941">
    <cfRule type="notContainsText" dxfId="1199" priority="2026" operator="notContains" text="Sinapi">
      <formula>ISERROR(SEARCH("Sinapi",G2941))</formula>
    </cfRule>
  </conditionalFormatting>
  <conditionalFormatting sqref="G2946">
    <cfRule type="notContainsText" dxfId="1198" priority="2025" operator="notContains" text="Sinapi">
      <formula>ISERROR(SEARCH("Sinapi",G2946))</formula>
    </cfRule>
  </conditionalFormatting>
  <conditionalFormatting sqref="G2963">
    <cfRule type="notContainsText" dxfId="1197" priority="2023" operator="notContains" text="Sinapi">
      <formula>ISERROR(SEARCH("Sinapi",G2963))</formula>
    </cfRule>
  </conditionalFormatting>
  <conditionalFormatting sqref="G2958">
    <cfRule type="notContainsText" dxfId="1196" priority="2024" operator="notContains" text="Sinapi">
      <formula>ISERROR(SEARCH("Sinapi",G2958))</formula>
    </cfRule>
  </conditionalFormatting>
  <conditionalFormatting sqref="G2968">
    <cfRule type="notContainsText" dxfId="1195" priority="2022" operator="notContains" text="Sinapi">
      <formula>ISERROR(SEARCH("Sinapi",G2968))</formula>
    </cfRule>
  </conditionalFormatting>
  <conditionalFormatting sqref="G2973">
    <cfRule type="notContainsText" dxfId="1194" priority="2021" operator="notContains" text="Sinapi">
      <formula>ISERROR(SEARCH("Sinapi",G2973))</formula>
    </cfRule>
  </conditionalFormatting>
  <conditionalFormatting sqref="G2978">
    <cfRule type="notContainsText" dxfId="1193" priority="2020" operator="notContains" text="Sinapi">
      <formula>ISERROR(SEARCH("Sinapi",G2978))</formula>
    </cfRule>
  </conditionalFormatting>
  <conditionalFormatting sqref="G2983">
    <cfRule type="notContainsText" dxfId="1192" priority="2019" operator="notContains" text="Sinapi">
      <formula>ISERROR(SEARCH("Sinapi",G2983))</formula>
    </cfRule>
  </conditionalFormatting>
  <conditionalFormatting sqref="G2988">
    <cfRule type="notContainsText" dxfId="1191" priority="2018" operator="notContains" text="Sinapi">
      <formula>ISERROR(SEARCH("Sinapi",G2988))</formula>
    </cfRule>
  </conditionalFormatting>
  <conditionalFormatting sqref="G2993">
    <cfRule type="notContainsText" dxfId="1190" priority="2017" operator="notContains" text="Sinapi">
      <formula>ISERROR(SEARCH("Sinapi",G2993))</formula>
    </cfRule>
  </conditionalFormatting>
  <conditionalFormatting sqref="G2998">
    <cfRule type="notContainsText" dxfId="1189" priority="2016" operator="notContains" text="Sinapi">
      <formula>ISERROR(SEARCH("Sinapi",G2998))</formula>
    </cfRule>
  </conditionalFormatting>
  <conditionalFormatting sqref="G3011">
    <cfRule type="notContainsText" dxfId="1188" priority="2015" operator="notContains" text="Sinapi">
      <formula>ISERROR(SEARCH("Sinapi",G3011))</formula>
    </cfRule>
  </conditionalFormatting>
  <conditionalFormatting sqref="G3035">
    <cfRule type="notContainsText" dxfId="1187" priority="2014" operator="notContains" text="Sinapi">
      <formula>ISERROR(SEARCH("Sinapi",G3035))</formula>
    </cfRule>
  </conditionalFormatting>
  <conditionalFormatting sqref="G3048">
    <cfRule type="notContainsText" dxfId="1186" priority="2013" operator="notContains" text="Sinapi">
      <formula>ISERROR(SEARCH("Sinapi",G3048))</formula>
    </cfRule>
  </conditionalFormatting>
  <conditionalFormatting sqref="G3053">
    <cfRule type="notContainsText" dxfId="1185" priority="2012" operator="notContains" text="Sinapi">
      <formula>ISERROR(SEARCH("Sinapi",G3053))</formula>
    </cfRule>
  </conditionalFormatting>
  <conditionalFormatting sqref="G3058">
    <cfRule type="notContainsText" dxfId="1184" priority="2011" operator="notContains" text="Sinapi">
      <formula>ISERROR(SEARCH("Sinapi",G3058))</formula>
    </cfRule>
  </conditionalFormatting>
  <conditionalFormatting sqref="G3063">
    <cfRule type="notContainsText" dxfId="1183" priority="2010" operator="notContains" text="Sinapi">
      <formula>ISERROR(SEARCH("Sinapi",G3063))</formula>
    </cfRule>
  </conditionalFormatting>
  <conditionalFormatting sqref="G3068">
    <cfRule type="notContainsText" dxfId="1182" priority="2009" operator="notContains" text="Sinapi">
      <formula>ISERROR(SEARCH("Sinapi",G3068))</formula>
    </cfRule>
  </conditionalFormatting>
  <conditionalFormatting sqref="G3073">
    <cfRule type="notContainsText" dxfId="1181" priority="2008" operator="notContains" text="Sinapi">
      <formula>ISERROR(SEARCH("Sinapi",G3073))</formula>
    </cfRule>
  </conditionalFormatting>
  <conditionalFormatting sqref="G3078">
    <cfRule type="notContainsText" dxfId="1180" priority="2007" operator="notContains" text="Sinapi">
      <formula>ISERROR(SEARCH("Sinapi",G3078))</formula>
    </cfRule>
  </conditionalFormatting>
  <conditionalFormatting sqref="G3083">
    <cfRule type="notContainsText" dxfId="1179" priority="2006" operator="notContains" text="Sinapi">
      <formula>ISERROR(SEARCH("Sinapi",G3083))</formula>
    </cfRule>
  </conditionalFormatting>
  <conditionalFormatting sqref="G3088">
    <cfRule type="notContainsText" dxfId="1178" priority="2005" operator="notContains" text="Sinapi">
      <formula>ISERROR(SEARCH("Sinapi",G3088))</formula>
    </cfRule>
  </conditionalFormatting>
  <conditionalFormatting sqref="G3132">
    <cfRule type="notContainsText" dxfId="1177" priority="2004" operator="notContains" text="Sinapi">
      <formula>ISERROR(SEARCH("Sinapi",G3132))</formula>
    </cfRule>
  </conditionalFormatting>
  <conditionalFormatting sqref="G3312">
    <cfRule type="notContainsText" dxfId="1176" priority="2003" operator="notContains" text="Sinapi">
      <formula>ISERROR(SEARCH("Sinapi",G3312))</formula>
    </cfRule>
  </conditionalFormatting>
  <conditionalFormatting sqref="G3331">
    <cfRule type="notContainsText" dxfId="1175" priority="2002" operator="notContains" text="Sinapi">
      <formula>ISERROR(SEARCH("Sinapi",G3331))</formula>
    </cfRule>
  </conditionalFormatting>
  <conditionalFormatting sqref="G3342">
    <cfRule type="notContainsText" dxfId="1174" priority="2001" operator="notContains" text="Sinapi">
      <formula>ISERROR(SEARCH("Sinapi",G3342))</formula>
    </cfRule>
  </conditionalFormatting>
  <conditionalFormatting sqref="G3346">
    <cfRule type="notContainsText" dxfId="1173" priority="2000" operator="notContains" text="Sinapi">
      <formula>ISERROR(SEARCH("Sinapi",G3346))</formula>
    </cfRule>
  </conditionalFormatting>
  <conditionalFormatting sqref="D171:D172">
    <cfRule type="containsText" dxfId="1172" priority="1979" operator="containsText" text="Pesquisa de Preços">
      <formula>NOT(ISERROR(SEARCH("Pesquisa de Preços",D171)))</formula>
    </cfRule>
  </conditionalFormatting>
  <conditionalFormatting sqref="G3024">
    <cfRule type="notContainsText" dxfId="1171" priority="1978" operator="notContains" text="Sinapi">
      <formula>ISERROR(SEARCH("Sinapi",G3024))</formula>
    </cfRule>
  </conditionalFormatting>
  <conditionalFormatting sqref="E18 E3345 E261 E2431">
    <cfRule type="containsText" dxfId="1170" priority="1969" operator="containsText" text="Pesquisa de Preços">
      <formula>NOT(ISERROR(SEARCH("Pesquisa de Preços",E18)))</formula>
    </cfRule>
  </conditionalFormatting>
  <conditionalFormatting sqref="E9">
    <cfRule type="containsText" dxfId="1169" priority="1968" operator="containsText" text="Pesquisa de Preços">
      <formula>NOT(ISERROR(SEARCH("Pesquisa de Preços",E9)))</formula>
    </cfRule>
  </conditionalFormatting>
  <conditionalFormatting sqref="E7">
    <cfRule type="containsText" dxfId="1168" priority="1967" operator="containsText" text="Pesquisa de Preços">
      <formula>NOT(ISERROR(SEARCH("Pesquisa de Preços",E7)))</formula>
    </cfRule>
  </conditionalFormatting>
  <conditionalFormatting sqref="E6">
    <cfRule type="containsText" dxfId="1167" priority="1966" operator="containsText" text="Pesquisa de Preços">
      <formula>NOT(ISERROR(SEARCH("Pesquisa de Preços",E6)))</formula>
    </cfRule>
  </conditionalFormatting>
  <conditionalFormatting sqref="E8">
    <cfRule type="containsText" dxfId="1166" priority="1965" operator="containsText" text="Pesquisa de Preços">
      <formula>NOT(ISERROR(SEARCH("Pesquisa de Preços",E8)))</formula>
    </cfRule>
  </conditionalFormatting>
  <conditionalFormatting sqref="E15">
    <cfRule type="containsText" dxfId="1165" priority="1964" operator="containsText" text="Pesquisa de Preços">
      <formula>NOT(ISERROR(SEARCH("Pesquisa de Preços",E15)))</formula>
    </cfRule>
  </conditionalFormatting>
  <conditionalFormatting sqref="E14">
    <cfRule type="containsText" dxfId="1164" priority="1963" operator="containsText" text="Pesquisa de Preços">
      <formula>NOT(ISERROR(SEARCH("Pesquisa de Preços",E14)))</formula>
    </cfRule>
  </conditionalFormatting>
  <conditionalFormatting sqref="E16">
    <cfRule type="containsText" dxfId="1163" priority="1962" operator="containsText" text="Pesquisa de Preços">
      <formula>NOT(ISERROR(SEARCH("Pesquisa de Preços",E16)))</formula>
    </cfRule>
  </conditionalFormatting>
  <conditionalFormatting sqref="E12">
    <cfRule type="containsText" dxfId="1162" priority="1961" operator="containsText" text="Pesquisa de Preços">
      <formula>NOT(ISERROR(SEARCH("Pesquisa de Preços",E12)))</formula>
    </cfRule>
  </conditionalFormatting>
  <conditionalFormatting sqref="E10">
    <cfRule type="containsText" dxfId="1161" priority="1958" operator="containsText" text="Pesquisa de Preços">
      <formula>NOT(ISERROR(SEARCH("Pesquisa de Preços",E10)))</formula>
    </cfRule>
  </conditionalFormatting>
  <conditionalFormatting sqref="E13">
    <cfRule type="containsText" dxfId="1160" priority="1960" operator="containsText" text="Pesquisa de Preços">
      <formula>NOT(ISERROR(SEARCH("Pesquisa de Preços",E13)))</formula>
    </cfRule>
  </conditionalFormatting>
  <conditionalFormatting sqref="E11">
    <cfRule type="containsText" dxfId="1159" priority="1959" operator="containsText" text="Pesquisa de Preços">
      <formula>NOT(ISERROR(SEARCH("Pesquisa de Preços",E11)))</formula>
    </cfRule>
  </conditionalFormatting>
  <conditionalFormatting sqref="E224">
    <cfRule type="containsText" dxfId="1158" priority="1956" operator="containsText" text="Pesquisa de Preços">
      <formula>NOT(ISERROR(SEARCH("Pesquisa de Preços",E224)))</formula>
    </cfRule>
  </conditionalFormatting>
  <conditionalFormatting sqref="E226">
    <cfRule type="containsText" dxfId="1157" priority="1957" operator="containsText" text="Pesquisa de Preços">
      <formula>NOT(ISERROR(SEARCH("Pesquisa de Preços",E226)))</formula>
    </cfRule>
  </conditionalFormatting>
  <conditionalFormatting sqref="E223">
    <cfRule type="containsText" dxfId="1156" priority="1955" operator="containsText" text="Pesquisa de Preços">
      <formula>NOT(ISERROR(SEARCH("Pesquisa de Preços",E223)))</formula>
    </cfRule>
  </conditionalFormatting>
  <conditionalFormatting sqref="E513">
    <cfRule type="containsText" dxfId="1155" priority="1801" operator="containsText" text="Pesquisa de Preços">
      <formula>NOT(ISERROR(SEARCH("Pesquisa de Preços",E513)))</formula>
    </cfRule>
  </conditionalFormatting>
  <conditionalFormatting sqref="E149">
    <cfRule type="containsText" dxfId="1154" priority="1950" operator="containsText" text="Pesquisa de Preços">
      <formula>NOT(ISERROR(SEARCH("Pesquisa de Preços",E149)))</formula>
    </cfRule>
  </conditionalFormatting>
  <conditionalFormatting sqref="E489:E495">
    <cfRule type="containsText" dxfId="1153" priority="1797" operator="containsText" text="Pesquisa de Preços">
      <formula>NOT(ISERROR(SEARCH("Pesquisa de Preços",E489)))</formula>
    </cfRule>
  </conditionalFormatting>
  <conditionalFormatting sqref="E148">
    <cfRule type="containsText" dxfId="1152" priority="1949" operator="containsText" text="Pesquisa de Preços">
      <formula>NOT(ISERROR(SEARCH("Pesquisa de Preços",E148)))</formula>
    </cfRule>
  </conditionalFormatting>
  <conditionalFormatting sqref="E78">
    <cfRule type="containsText" dxfId="1151" priority="1952" operator="containsText" text="Pesquisa de Preços">
      <formula>NOT(ISERROR(SEARCH("Pesquisa de Preços",E78)))</formula>
    </cfRule>
  </conditionalFormatting>
  <conditionalFormatting sqref="E161">
    <cfRule type="containsText" dxfId="1150" priority="1948" operator="containsText" text="Pesquisa de Preços">
      <formula>NOT(ISERROR(SEARCH("Pesquisa de Preços",E161)))</formula>
    </cfRule>
  </conditionalFormatting>
  <conditionalFormatting sqref="E79">
    <cfRule type="containsText" dxfId="1149" priority="1954" operator="containsText" text="Pesquisa de Preços">
      <formula>NOT(ISERROR(SEARCH("Pesquisa de Preços",E79)))</formula>
    </cfRule>
  </conditionalFormatting>
  <conditionalFormatting sqref="E77">
    <cfRule type="containsText" dxfId="1148" priority="1951" operator="containsText" text="Pesquisa de Preços">
      <formula>NOT(ISERROR(SEARCH("Pesquisa de Preços",E77)))</formula>
    </cfRule>
  </conditionalFormatting>
  <conditionalFormatting sqref="E81">
    <cfRule type="containsText" dxfId="1147" priority="1953" operator="containsText" text="Pesquisa de Preços">
      <formula>NOT(ISERROR(SEARCH("Pesquisa de Preços",E81)))</formula>
    </cfRule>
  </conditionalFormatting>
  <conditionalFormatting sqref="E548">
    <cfRule type="containsText" dxfId="1146" priority="1789" operator="containsText" text="Pesquisa de Preços">
      <formula>NOT(ISERROR(SEARCH("Pesquisa de Preços",E548)))</formula>
    </cfRule>
  </conditionalFormatting>
  <conditionalFormatting sqref="E87">
    <cfRule type="containsText" dxfId="1145" priority="1945" operator="containsText" text="Pesquisa de Preços">
      <formula>NOT(ISERROR(SEARCH("Pesquisa de Preços",E87)))</formula>
    </cfRule>
  </conditionalFormatting>
  <conditionalFormatting sqref="E160">
    <cfRule type="containsText" dxfId="1144" priority="1947" operator="containsText" text="Pesquisa de Preços">
      <formula>NOT(ISERROR(SEARCH("Pesquisa de Preços",E160)))</formula>
    </cfRule>
  </conditionalFormatting>
  <conditionalFormatting sqref="E556">
    <cfRule type="containsText" dxfId="1143" priority="1786" operator="containsText" text="Pesquisa de Preços">
      <formula>NOT(ISERROR(SEARCH("Pesquisa de Preços",E556)))</formula>
    </cfRule>
  </conditionalFormatting>
  <conditionalFormatting sqref="E88">
    <cfRule type="containsText" dxfId="1142" priority="1946" operator="containsText" text="Pesquisa de Preços">
      <formula>NOT(ISERROR(SEARCH("Pesquisa de Preços",E88)))</formula>
    </cfRule>
  </conditionalFormatting>
  <conditionalFormatting sqref="E60">
    <cfRule type="containsText" dxfId="1141" priority="1944" operator="containsText" text="Pesquisa de Preços">
      <formula>NOT(ISERROR(SEARCH("Pesquisa de Preços",E60)))</formula>
    </cfRule>
  </conditionalFormatting>
  <conditionalFormatting sqref="E572">
    <cfRule type="containsText" dxfId="1140" priority="1777" operator="containsText" text="Pesquisa de Preços">
      <formula>NOT(ISERROR(SEARCH("Pesquisa de Preços",E572)))</formula>
    </cfRule>
  </conditionalFormatting>
  <conditionalFormatting sqref="E59">
    <cfRule type="containsText" dxfId="1139" priority="1943" operator="containsText" text="Pesquisa de Preços">
      <formula>NOT(ISERROR(SEARCH("Pesquisa de Preços",E59)))</formula>
    </cfRule>
  </conditionalFormatting>
  <conditionalFormatting sqref="E53">
    <cfRule type="containsText" dxfId="1138" priority="1942" operator="containsText" text="Pesquisa de Preços">
      <formula>NOT(ISERROR(SEARCH("Pesquisa de Preços",E53)))</formula>
    </cfRule>
  </conditionalFormatting>
  <conditionalFormatting sqref="E33">
    <cfRule type="containsText" dxfId="1137" priority="1939" operator="containsText" text="Pesquisa de Preços">
      <formula>NOT(ISERROR(SEARCH("Pesquisa de Preços",E33)))</formula>
    </cfRule>
  </conditionalFormatting>
  <conditionalFormatting sqref="E52">
    <cfRule type="containsText" dxfId="1136" priority="1941" operator="containsText" text="Pesquisa de Preços">
      <formula>NOT(ISERROR(SEARCH("Pesquisa de Preços",E52)))</formula>
    </cfRule>
  </conditionalFormatting>
  <conditionalFormatting sqref="E582">
    <cfRule type="containsText" dxfId="1135" priority="1775" operator="containsText" text="Pesquisa de Preços">
      <formula>NOT(ISERROR(SEARCH("Pesquisa de Preços",E582)))</formula>
    </cfRule>
  </conditionalFormatting>
  <conditionalFormatting sqref="E34:E35">
    <cfRule type="containsText" dxfId="1134" priority="1940" operator="containsText" text="Pesquisa de Preços">
      <formula>NOT(ISERROR(SEARCH("Pesquisa de Preços",E34)))</formula>
    </cfRule>
  </conditionalFormatting>
  <conditionalFormatting sqref="E98:E99">
    <cfRule type="containsText" dxfId="1133" priority="1936" operator="containsText" text="Pesquisa de Preços">
      <formula>NOT(ISERROR(SEARCH("Pesquisa de Preços",E98)))</formula>
    </cfRule>
  </conditionalFormatting>
  <conditionalFormatting sqref="E29">
    <cfRule type="containsText" dxfId="1132" priority="1938" operator="containsText" text="Pesquisa de Preços">
      <formula>NOT(ISERROR(SEARCH("Pesquisa de Preços",E29)))</formula>
    </cfRule>
  </conditionalFormatting>
  <conditionalFormatting sqref="E28">
    <cfRule type="containsText" dxfId="1131" priority="1937" operator="containsText" text="Pesquisa de Preços">
      <formula>NOT(ISERROR(SEARCH("Pesquisa de Preços",E28)))</formula>
    </cfRule>
  </conditionalFormatting>
  <conditionalFormatting sqref="E144:E145">
    <cfRule type="containsText" dxfId="1130" priority="1933" operator="containsText" text="Pesquisa de Preços">
      <formula>NOT(ISERROR(SEARCH("Pesquisa de Preços",E144)))</formula>
    </cfRule>
  </conditionalFormatting>
  <conditionalFormatting sqref="E42">
    <cfRule type="containsText" dxfId="1129" priority="1929" operator="containsText" text="Pesquisa de Preços">
      <formula>NOT(ISERROR(SEARCH("Pesquisa de Preços",E42)))</formula>
    </cfRule>
  </conditionalFormatting>
  <conditionalFormatting sqref="E97">
    <cfRule type="containsText" dxfId="1128" priority="1935" operator="containsText" text="Pesquisa de Preços">
      <formula>NOT(ISERROR(SEARCH("Pesquisa de Preços",E97)))</formula>
    </cfRule>
  </conditionalFormatting>
  <conditionalFormatting sqref="E100">
    <cfRule type="containsText" dxfId="1127" priority="1934" operator="containsText" text="Pesquisa de Preços">
      <formula>NOT(ISERROR(SEARCH("Pesquisa de Preços",E100)))</formula>
    </cfRule>
  </conditionalFormatting>
  <conditionalFormatting sqref="E179">
    <cfRule type="containsText" dxfId="1126" priority="1924" operator="containsText" text="Pesquisa de Preços">
      <formula>NOT(ISERROR(SEARCH("Pesquisa de Preços",E179)))</formula>
    </cfRule>
  </conditionalFormatting>
  <conditionalFormatting sqref="E143">
    <cfRule type="containsText" dxfId="1125" priority="1932" operator="containsText" text="Pesquisa de Preços">
      <formula>NOT(ISERROR(SEARCH("Pesquisa de Preços",E143)))</formula>
    </cfRule>
  </conditionalFormatting>
  <conditionalFormatting sqref="E24">
    <cfRule type="containsText" dxfId="1124" priority="1928" operator="containsText" text="Pesquisa de Preços">
      <formula>NOT(ISERROR(SEARCH("Pesquisa de Preços",E24)))</formula>
    </cfRule>
  </conditionalFormatting>
  <conditionalFormatting sqref="E146">
    <cfRule type="containsText" dxfId="1123" priority="1931" operator="containsText" text="Pesquisa de Preços">
      <formula>NOT(ISERROR(SEARCH("Pesquisa de Preços",E146)))</formula>
    </cfRule>
  </conditionalFormatting>
  <conditionalFormatting sqref="E43">
    <cfRule type="containsText" dxfId="1122" priority="1930" operator="containsText" text="Pesquisa de Preços">
      <formula>NOT(ISERROR(SEARCH("Pesquisa de Preços",E43)))</formula>
    </cfRule>
  </conditionalFormatting>
  <conditionalFormatting sqref="E23">
    <cfRule type="containsText" dxfId="1121" priority="1927" operator="containsText" text="Pesquisa de Preços">
      <formula>NOT(ISERROR(SEARCH("Pesquisa de Preços",E23)))</formula>
    </cfRule>
  </conditionalFormatting>
  <conditionalFormatting sqref="E117:E118">
    <cfRule type="containsText" dxfId="1120" priority="1922" operator="containsText" text="Pesquisa de Preços">
      <formula>NOT(ISERROR(SEARCH("Pesquisa de Preços",E117)))</formula>
    </cfRule>
  </conditionalFormatting>
  <conditionalFormatting sqref="E178">
    <cfRule type="containsText" dxfId="1119" priority="1923" operator="containsText" text="Pesquisa de Preços">
      <formula>NOT(ISERROR(SEARCH("Pesquisa de Preços",E178)))</formula>
    </cfRule>
  </conditionalFormatting>
  <conditionalFormatting sqref="E38:E40">
    <cfRule type="containsText" dxfId="1118" priority="1926" operator="containsText" text="Pesquisa de Preços">
      <formula>NOT(ISERROR(SEARCH("Pesquisa de Preços",E38)))</formula>
    </cfRule>
  </conditionalFormatting>
  <conditionalFormatting sqref="E37">
    <cfRule type="containsText" dxfId="1117" priority="1925" operator="containsText" text="Pesquisa de Preços">
      <formula>NOT(ISERROR(SEARCH("Pesquisa de Preços",E37)))</formula>
    </cfRule>
  </conditionalFormatting>
  <conditionalFormatting sqref="E116">
    <cfRule type="containsText" dxfId="1116" priority="1921" operator="containsText" text="Pesquisa de Preços">
      <formula>NOT(ISERROR(SEARCH("Pesquisa de Preços",E116)))</formula>
    </cfRule>
  </conditionalFormatting>
  <conditionalFormatting sqref="E680">
    <cfRule type="containsText" dxfId="1115" priority="1771" operator="containsText" text="Pesquisa de Preços">
      <formula>NOT(ISERROR(SEARCH("Pesquisa de Preços",E680)))</formula>
    </cfRule>
  </conditionalFormatting>
  <conditionalFormatting sqref="E672">
    <cfRule type="containsText" dxfId="1114" priority="1769" operator="containsText" text="Pesquisa de Preços">
      <formula>NOT(ISERROR(SEARCH("Pesquisa de Preços",E672)))</formula>
    </cfRule>
  </conditionalFormatting>
  <conditionalFormatting sqref="E174">
    <cfRule type="containsText" dxfId="1113" priority="1919" operator="containsText" text="Pesquisa de Preços">
      <formula>NOT(ISERROR(SEARCH("Pesquisa de Preços",E174)))</formula>
    </cfRule>
  </conditionalFormatting>
  <conditionalFormatting sqref="E175:E176">
    <cfRule type="containsText" dxfId="1112" priority="1920" operator="containsText" text="Pesquisa de Preços">
      <formula>NOT(ISERROR(SEARCH("Pesquisa de Preços",E175)))</formula>
    </cfRule>
  </conditionalFormatting>
  <conditionalFormatting sqref="E218">
    <cfRule type="containsText" dxfId="1111" priority="1917" operator="containsText" text="Pesquisa de Preços">
      <formula>NOT(ISERROR(SEARCH("Pesquisa de Preços",E218)))</formula>
    </cfRule>
  </conditionalFormatting>
  <conditionalFormatting sqref="E219:E220">
    <cfRule type="containsText" dxfId="1110" priority="1918" operator="containsText" text="Pesquisa de Preços">
      <formula>NOT(ISERROR(SEARCH("Pesquisa de Preços",E219)))</formula>
    </cfRule>
  </conditionalFormatting>
  <conditionalFormatting sqref="E125">
    <cfRule type="containsText" dxfId="1109" priority="1914" operator="containsText" text="Pesquisa de Preços">
      <formula>NOT(ISERROR(SEARCH("Pesquisa de Preços",E125)))</formula>
    </cfRule>
  </conditionalFormatting>
  <conditionalFormatting sqref="E690:E691 E695:E696">
    <cfRule type="containsText" dxfId="1108" priority="1767" operator="containsText" text="Pesquisa de Preços">
      <formula>NOT(ISERROR(SEARCH("Pesquisa de Preços",E690)))</formula>
    </cfRule>
  </conditionalFormatting>
  <conditionalFormatting sqref="E221">
    <cfRule type="containsText" dxfId="1107" priority="1916" operator="containsText" text="Pesquisa de Preços">
      <formula>NOT(ISERROR(SEARCH("Pesquisa de Preços",E221)))</formula>
    </cfRule>
  </conditionalFormatting>
  <conditionalFormatting sqref="E126">
    <cfRule type="containsText" dxfId="1106" priority="1915" operator="containsText" text="Pesquisa de Preços">
      <formula>NOT(ISERROR(SEARCH("Pesquisa de Preços",E126)))</formula>
    </cfRule>
  </conditionalFormatting>
  <conditionalFormatting sqref="E716">
    <cfRule type="containsText" dxfId="1105" priority="1764" operator="containsText" text="Pesquisa de Preços">
      <formula>NOT(ISERROR(SEARCH("Pesquisa de Preços",E716)))</formula>
    </cfRule>
  </conditionalFormatting>
  <conditionalFormatting sqref="E166:E167">
    <cfRule type="containsText" dxfId="1104" priority="1913" operator="containsText" text="Pesquisa de Preços">
      <formula>NOT(ISERROR(SEARCH("Pesquisa de Preços",E166)))</formula>
    </cfRule>
  </conditionalFormatting>
  <conditionalFormatting sqref="E165">
    <cfRule type="containsText" dxfId="1103" priority="1912" operator="containsText" text="Pesquisa de Preços">
      <formula>NOT(ISERROR(SEARCH("Pesquisa de Preços",E165)))</formula>
    </cfRule>
  </conditionalFormatting>
  <conditionalFormatting sqref="E732">
    <cfRule type="containsText" dxfId="1102" priority="1762" operator="containsText" text="Pesquisa de Preços">
      <formula>NOT(ISERROR(SEARCH("Pesquisa de Preços",E732)))</formula>
    </cfRule>
  </conditionalFormatting>
  <conditionalFormatting sqref="E168">
    <cfRule type="containsText" dxfId="1101" priority="1911" operator="containsText" text="Pesquisa de Preços">
      <formula>NOT(ISERROR(SEARCH("Pesquisa de Preços",E168)))</formula>
    </cfRule>
  </conditionalFormatting>
  <conditionalFormatting sqref="E83">
    <cfRule type="containsText" dxfId="1100" priority="1910" operator="containsText" text="Pesquisa de Preços">
      <formula>NOT(ISERROR(SEARCH("Pesquisa de Preços",E83)))</formula>
    </cfRule>
  </conditionalFormatting>
  <conditionalFormatting sqref="E82">
    <cfRule type="containsText" dxfId="1099" priority="1909" operator="containsText" text="Pesquisa de Preços">
      <formula>NOT(ISERROR(SEARCH("Pesquisa de Preços",E82)))</formula>
    </cfRule>
  </conditionalFormatting>
  <conditionalFormatting sqref="E112">
    <cfRule type="containsText" dxfId="1098" priority="1908" operator="containsText" text="Pesquisa de Preços">
      <formula>NOT(ISERROR(SEARCH("Pesquisa de Preços",E112)))</formula>
    </cfRule>
  </conditionalFormatting>
  <conditionalFormatting sqref="E210:E211">
    <cfRule type="containsText" dxfId="1097" priority="1906" operator="containsText" text="Pesquisa de Preços">
      <formula>NOT(ISERROR(SEARCH("Pesquisa de Preços",E210)))</formula>
    </cfRule>
  </conditionalFormatting>
  <conditionalFormatting sqref="E111">
    <cfRule type="containsText" dxfId="1096" priority="1907" operator="containsText" text="Pesquisa de Preços">
      <formula>NOT(ISERROR(SEARCH("Pesquisa de Preços",E111)))</formula>
    </cfRule>
  </conditionalFormatting>
  <conditionalFormatting sqref="E200">
    <cfRule type="containsText" dxfId="1095" priority="1903" operator="containsText" text="Pesquisa de Preços">
      <formula>NOT(ISERROR(SEARCH("Pesquisa de Preços",E200)))</formula>
    </cfRule>
  </conditionalFormatting>
  <conditionalFormatting sqref="E209">
    <cfRule type="containsText" dxfId="1094" priority="1905" operator="containsText" text="Pesquisa de Preços">
      <formula>NOT(ISERROR(SEARCH("Pesquisa de Preços",E209)))</formula>
    </cfRule>
  </conditionalFormatting>
  <conditionalFormatting sqref="E201">
    <cfRule type="containsText" dxfId="1093" priority="1904" operator="containsText" text="Pesquisa de Preços">
      <formula>NOT(ISERROR(SEARCH("Pesquisa de Preços",E201)))</formula>
    </cfRule>
  </conditionalFormatting>
  <conditionalFormatting sqref="E197:E198">
    <cfRule type="containsText" dxfId="1092" priority="1901" operator="containsText" text="Pesquisa de Preços">
      <formula>NOT(ISERROR(SEARCH("Pesquisa de Preços",E197)))</formula>
    </cfRule>
  </conditionalFormatting>
  <conditionalFormatting sqref="E202:E203">
    <cfRule type="containsText" dxfId="1091" priority="1902" operator="containsText" text="Pesquisa de Preços">
      <formula>NOT(ISERROR(SEARCH("Pesquisa de Preços",E202)))</formula>
    </cfRule>
  </conditionalFormatting>
  <conditionalFormatting sqref="E196">
    <cfRule type="containsText" dxfId="1090" priority="1900" operator="containsText" text="Pesquisa de Preços">
      <formula>NOT(ISERROR(SEARCH("Pesquisa de Preços",E196)))</formula>
    </cfRule>
  </conditionalFormatting>
  <conditionalFormatting sqref="E70:E71 E75:E76">
    <cfRule type="containsText" dxfId="1089" priority="1899" operator="containsText" text="Pesquisa de Preços">
      <formula>NOT(ISERROR(SEARCH("Pesquisa de Preços",E70)))</formula>
    </cfRule>
  </conditionalFormatting>
  <conditionalFormatting sqref="E69">
    <cfRule type="containsText" dxfId="1088" priority="1898" operator="containsText" text="Pesquisa de Preços">
      <formula>NOT(ISERROR(SEARCH("Pesquisa de Preços",E69)))</formula>
    </cfRule>
  </conditionalFormatting>
  <conditionalFormatting sqref="E72:E74">
    <cfRule type="containsText" dxfId="1087" priority="1897" operator="containsText" text="Pesquisa de Preços">
      <formula>NOT(ISERROR(SEARCH("Pesquisa de Preços",E72)))</formula>
    </cfRule>
  </conditionalFormatting>
  <conditionalFormatting sqref="E135:E136">
    <cfRule type="containsText" dxfId="1086" priority="1896" operator="containsText" text="Pesquisa de Preços">
      <formula>NOT(ISERROR(SEARCH("Pesquisa de Preços",E135)))</formula>
    </cfRule>
  </conditionalFormatting>
  <conditionalFormatting sqref="E134">
    <cfRule type="containsText" dxfId="1085" priority="1895" operator="containsText" text="Pesquisa de Preços">
      <formula>NOT(ISERROR(SEARCH("Pesquisa de Preços",E134)))</formula>
    </cfRule>
  </conditionalFormatting>
  <conditionalFormatting sqref="E139:E140">
    <cfRule type="containsText" dxfId="1084" priority="1894" operator="containsText" text="Pesquisa de Preços">
      <formula>NOT(ISERROR(SEARCH("Pesquisa de Preços",E139)))</formula>
    </cfRule>
  </conditionalFormatting>
  <conditionalFormatting sqref="E138">
    <cfRule type="containsText" dxfId="1083" priority="1893" operator="containsText" text="Pesquisa de Preços">
      <formula>NOT(ISERROR(SEARCH("Pesquisa de Preços",E138)))</formula>
    </cfRule>
  </conditionalFormatting>
  <conditionalFormatting sqref="E792 E794:E803">
    <cfRule type="containsText" dxfId="1082" priority="1756" operator="containsText" text="Pesquisa de Preços">
      <formula>NOT(ISERROR(SEARCH("Pesquisa de Preços",E792)))</formula>
    </cfRule>
  </conditionalFormatting>
  <conditionalFormatting sqref="E154:E156">
    <cfRule type="containsText" dxfId="1081" priority="1892" operator="containsText" text="Pesquisa de Preços">
      <formula>NOT(ISERROR(SEARCH("Pesquisa de Preços",E154)))</formula>
    </cfRule>
  </conditionalFormatting>
  <conditionalFormatting sqref="E153">
    <cfRule type="containsText" dxfId="1080" priority="1891" operator="containsText" text="Pesquisa de Preços">
      <formula>NOT(ISERROR(SEARCH("Pesquisa de Preços",E153)))</formula>
    </cfRule>
  </conditionalFormatting>
  <conditionalFormatting sqref="E834">
    <cfRule type="containsText" dxfId="1079" priority="1754" operator="containsText" text="Pesquisa de Preços">
      <formula>NOT(ISERROR(SEARCH("Pesquisa de Preços",E834)))</formula>
    </cfRule>
  </conditionalFormatting>
  <conditionalFormatting sqref="E93">
    <cfRule type="containsText" dxfId="1078" priority="1890" operator="containsText" text="Pesquisa de Preços">
      <formula>NOT(ISERROR(SEARCH("Pesquisa de Preços",E93)))</formula>
    </cfRule>
  </conditionalFormatting>
  <conditionalFormatting sqref="E92">
    <cfRule type="containsText" dxfId="1077" priority="1889" operator="containsText" text="Pesquisa de Preços">
      <formula>NOT(ISERROR(SEARCH("Pesquisa de Preços",E92)))</formula>
    </cfRule>
  </conditionalFormatting>
  <conditionalFormatting sqref="E816:E817">
    <cfRule type="containsText" dxfId="1076" priority="1752" operator="containsText" text="Pesquisa de Preços">
      <formula>NOT(ISERROR(SEARCH("Pesquisa de Preços",E816)))</formula>
    </cfRule>
  </conditionalFormatting>
  <conditionalFormatting sqref="E48:E49">
    <cfRule type="containsText" dxfId="1075" priority="1888" operator="containsText" text="Pesquisa de Preços">
      <formula>NOT(ISERROR(SEARCH("Pesquisa de Preços",E48)))</formula>
    </cfRule>
  </conditionalFormatting>
  <conditionalFormatting sqref="E47">
    <cfRule type="containsText" dxfId="1074" priority="1887" operator="containsText" text="Pesquisa de Preços">
      <formula>NOT(ISERROR(SEARCH("Pesquisa de Preços",E47)))</formula>
    </cfRule>
  </conditionalFormatting>
  <conditionalFormatting sqref="E50">
    <cfRule type="containsText" dxfId="1073" priority="1886" operator="containsText" text="Pesquisa de Preços">
      <formula>NOT(ISERROR(SEARCH("Pesquisa de Preços",E50)))</formula>
    </cfRule>
  </conditionalFormatting>
  <conditionalFormatting sqref="E190:E191">
    <cfRule type="containsText" dxfId="1072" priority="1885" operator="containsText" text="Pesquisa de Preços">
      <formula>NOT(ISERROR(SEARCH("Pesquisa de Preços",E190)))</formula>
    </cfRule>
  </conditionalFormatting>
  <conditionalFormatting sqref="E189">
    <cfRule type="containsText" dxfId="1071" priority="1884" operator="containsText" text="Pesquisa de Preços">
      <formula>NOT(ISERROR(SEARCH("Pesquisa de Preços",E189)))</formula>
    </cfRule>
  </conditionalFormatting>
  <conditionalFormatting sqref="E750:E751 E754:E755">
    <cfRule type="containsText" dxfId="1070" priority="1750" operator="containsText" text="Pesquisa de Preços">
      <formula>NOT(ISERROR(SEARCH("Pesquisa de Preços",E750)))</formula>
    </cfRule>
  </conditionalFormatting>
  <conditionalFormatting sqref="E192">
    <cfRule type="containsText" dxfId="1069" priority="1883" operator="containsText" text="Pesquisa de Preços">
      <formula>NOT(ISERROR(SEARCH("Pesquisa de Preços",E192)))</formula>
    </cfRule>
  </conditionalFormatting>
  <conditionalFormatting sqref="E214:E215">
    <cfRule type="containsText" dxfId="1068" priority="1882" operator="containsText" text="Pesquisa de Preços">
      <formula>NOT(ISERROR(SEARCH("Pesquisa de Preços",E214)))</formula>
    </cfRule>
  </conditionalFormatting>
  <conditionalFormatting sqref="E213">
    <cfRule type="containsText" dxfId="1067" priority="1881" operator="containsText" text="Pesquisa de Preços">
      <formula>NOT(ISERROR(SEARCH("Pesquisa de Preços",E213)))</formula>
    </cfRule>
  </conditionalFormatting>
  <conditionalFormatting sqref="E216">
    <cfRule type="containsText" dxfId="1066" priority="1880" operator="containsText" text="Pesquisa de Preços">
      <formula>NOT(ISERROR(SEARCH("Pesquisa de Preços",E216)))</formula>
    </cfRule>
  </conditionalFormatting>
  <conditionalFormatting sqref="E121:E122">
    <cfRule type="containsText" dxfId="1065" priority="1879" operator="containsText" text="Pesquisa de Preços">
      <formula>NOT(ISERROR(SEARCH("Pesquisa de Preços",E121)))</formula>
    </cfRule>
  </conditionalFormatting>
  <conditionalFormatting sqref="E120">
    <cfRule type="containsText" dxfId="1064" priority="1878" operator="containsText" text="Pesquisa de Preços">
      <formula>NOT(ISERROR(SEARCH("Pesquisa de Preços",E120)))</formula>
    </cfRule>
  </conditionalFormatting>
  <conditionalFormatting sqref="E757:E758">
    <cfRule type="containsText" dxfId="1063" priority="1747" operator="containsText" text="Pesquisa de Preços">
      <formula>NOT(ISERROR(SEARCH("Pesquisa de Preços",E757)))</formula>
    </cfRule>
  </conditionalFormatting>
  <conditionalFormatting sqref="E123">
    <cfRule type="containsText" dxfId="1062" priority="1877" operator="containsText" text="Pesquisa de Preços">
      <formula>NOT(ISERROR(SEARCH("Pesquisa de Preços",E123)))</formula>
    </cfRule>
  </conditionalFormatting>
  <conditionalFormatting sqref="E107:E108">
    <cfRule type="containsText" dxfId="1061" priority="1876" operator="containsText" text="Pesquisa de Preços">
      <formula>NOT(ISERROR(SEARCH("Pesquisa de Preços",E107)))</formula>
    </cfRule>
  </conditionalFormatting>
  <conditionalFormatting sqref="E106">
    <cfRule type="containsText" dxfId="1060" priority="1875" operator="containsText" text="Pesquisa de Preços">
      <formula>NOT(ISERROR(SEARCH("Pesquisa de Preços",E106)))</formula>
    </cfRule>
  </conditionalFormatting>
  <conditionalFormatting sqref="E825 E827">
    <cfRule type="containsText" dxfId="1059" priority="1744" operator="containsText" text="Pesquisa de Preços">
      <formula>NOT(ISERROR(SEARCH("Pesquisa de Preços",E825)))</formula>
    </cfRule>
  </conditionalFormatting>
  <conditionalFormatting sqref="E109">
    <cfRule type="containsText" dxfId="1058" priority="1874" operator="containsText" text="Pesquisa de Preços">
      <formula>NOT(ISERROR(SEARCH("Pesquisa de Preços",E109)))</formula>
    </cfRule>
  </conditionalFormatting>
  <conditionalFormatting sqref="E131">
    <cfRule type="containsText" dxfId="1057" priority="1873" operator="containsText" text="Pesquisa de Preços">
      <formula>NOT(ISERROR(SEARCH("Pesquisa de Preços",E131)))</formula>
    </cfRule>
  </conditionalFormatting>
  <conditionalFormatting sqref="E130">
    <cfRule type="containsText" dxfId="1056" priority="1872" operator="containsText" text="Pesquisa de Preços">
      <formula>NOT(ISERROR(SEARCH("Pesquisa de Preços",E130)))</formula>
    </cfRule>
  </conditionalFormatting>
  <conditionalFormatting sqref="E829">
    <cfRule type="containsText" dxfId="1055" priority="1742" operator="containsText" text="Pesquisa de Preços">
      <formula>NOT(ISERROR(SEARCH("Pesquisa de Preços",E829)))</formula>
    </cfRule>
  </conditionalFormatting>
  <conditionalFormatting sqref="E65:E66">
    <cfRule type="containsText" dxfId="1054" priority="1871" operator="containsText" text="Pesquisa de Preços">
      <formula>NOT(ISERROR(SEARCH("Pesquisa de Preços",E65)))</formula>
    </cfRule>
  </conditionalFormatting>
  <conditionalFormatting sqref="E64">
    <cfRule type="containsText" dxfId="1053" priority="1870" operator="containsText" text="Pesquisa de Preços">
      <formula>NOT(ISERROR(SEARCH("Pesquisa de Preços",E64)))</formula>
    </cfRule>
  </conditionalFormatting>
  <conditionalFormatting sqref="E806">
    <cfRule type="containsText" dxfId="1052" priority="1740" operator="containsText" text="Pesquisa de Preços">
      <formula>NOT(ISERROR(SEARCH("Pesquisa de Preços",E806)))</formula>
    </cfRule>
  </conditionalFormatting>
  <conditionalFormatting sqref="E67">
    <cfRule type="containsText" dxfId="1051" priority="1869" operator="containsText" text="Pesquisa de Preços">
      <formula>NOT(ISERROR(SEARCH("Pesquisa de Preços",E67)))</formula>
    </cfRule>
  </conditionalFormatting>
  <conditionalFormatting sqref="E282">
    <cfRule type="containsText" dxfId="1050" priority="1858" operator="containsText" text="Pesquisa de Preços">
      <formula>NOT(ISERROR(SEARCH("Pesquisa de Preços",E282)))</formula>
    </cfRule>
  </conditionalFormatting>
  <conditionalFormatting sqref="E267">
    <cfRule type="containsText" dxfId="1049" priority="1855" operator="containsText" text="Pesquisa de Preços">
      <formula>NOT(ISERROR(SEARCH("Pesquisa de Preços",E267)))</formula>
    </cfRule>
  </conditionalFormatting>
  <conditionalFormatting sqref="E320">
    <cfRule type="containsText" dxfId="1048" priority="1853" operator="containsText" text="Pesquisa de Preços">
      <formula>NOT(ISERROR(SEARCH("Pesquisa de Preços",E320)))</formula>
    </cfRule>
  </conditionalFormatting>
  <conditionalFormatting sqref="E304">
    <cfRule type="containsText" dxfId="1047" priority="1850" operator="containsText" text="Pesquisa de Preços">
      <formula>NOT(ISERROR(SEARCH("Pesquisa de Preços",E304)))</formula>
    </cfRule>
  </conditionalFormatting>
  <conditionalFormatting sqref="E341:E342">
    <cfRule type="containsText" dxfId="1046" priority="1848" operator="containsText" text="Pesquisa de Preços">
      <formula>NOT(ISERROR(SEARCH("Pesquisa de Preços",E341)))</formula>
    </cfRule>
  </conditionalFormatting>
  <conditionalFormatting sqref="E289">
    <cfRule type="containsText" dxfId="1045" priority="1842" operator="containsText" text="Pesquisa de Preços">
      <formula>NOT(ISERROR(SEARCH("Pesquisa de Preços",E289)))</formula>
    </cfRule>
  </conditionalFormatting>
  <conditionalFormatting sqref="E326:E327">
    <cfRule type="containsText" dxfId="1044" priority="1840" operator="containsText" text="Pesquisa de Preços">
      <formula>NOT(ISERROR(SEARCH("Pesquisa de Preços",E326)))</formula>
    </cfRule>
  </conditionalFormatting>
  <conditionalFormatting sqref="E400">
    <cfRule type="containsText" dxfId="1043" priority="1830" operator="containsText" text="Pesquisa de Preços">
      <formula>NOT(ISERROR(SEARCH("Pesquisa de Preços",E400)))</formula>
    </cfRule>
  </conditionalFormatting>
  <conditionalFormatting sqref="E415 E420">
    <cfRule type="containsText" dxfId="1042" priority="1829" operator="containsText" text="Pesquisa de Preços">
      <formula>NOT(ISERROR(SEARCH("Pesquisa de Preços",E415)))</formula>
    </cfRule>
  </conditionalFormatting>
  <conditionalFormatting sqref="E433">
    <cfRule type="containsText" dxfId="1041" priority="1823" operator="containsText" text="Pesquisa de Preços">
      <formula>NOT(ISERROR(SEARCH("Pesquisa de Preços",E433)))</formula>
    </cfRule>
  </conditionalFormatting>
  <conditionalFormatting sqref="E246">
    <cfRule type="containsText" dxfId="1040" priority="1868" operator="containsText" text="Pesquisa de Preços">
      <formula>NOT(ISERROR(SEARCH("Pesquisa de Preços",E246)))</formula>
    </cfRule>
  </conditionalFormatting>
  <conditionalFormatting sqref="E248:E249">
    <cfRule type="containsText" dxfId="1039" priority="1867" operator="containsText" text="Pesquisa de Preços">
      <formula>NOT(ISERROR(SEARCH("Pesquisa de Preços",E248)))</formula>
    </cfRule>
  </conditionalFormatting>
  <conditionalFormatting sqref="E247">
    <cfRule type="containsText" dxfId="1038" priority="1866" operator="containsText" text="Pesquisa de Preços">
      <formula>NOT(ISERROR(SEARCH("Pesquisa de Preços",E247)))</formula>
    </cfRule>
  </conditionalFormatting>
  <conditionalFormatting sqref="E1094:E1096">
    <cfRule type="containsText" dxfId="1037" priority="1678" operator="containsText" text="Pesquisa de Preços">
      <formula>NOT(ISERROR(SEARCH("Pesquisa de Preços",E1094)))</formula>
    </cfRule>
  </conditionalFormatting>
  <conditionalFormatting sqref="E250:E260">
    <cfRule type="containsText" dxfId="1036" priority="1865" operator="containsText" text="Pesquisa de Preços">
      <formula>NOT(ISERROR(SEARCH("Pesquisa de Preços",E250)))</formula>
    </cfRule>
  </conditionalFormatting>
  <conditionalFormatting sqref="E263:E264">
    <cfRule type="containsText" dxfId="1035" priority="1864" operator="containsText" text="Pesquisa de Preços">
      <formula>NOT(ISERROR(SEARCH("Pesquisa de Preços",E263)))</formula>
    </cfRule>
  </conditionalFormatting>
  <conditionalFormatting sqref="E262">
    <cfRule type="containsText" dxfId="1034" priority="1863" operator="containsText" text="Pesquisa de Preços">
      <formula>NOT(ISERROR(SEARCH("Pesquisa de Preços",E262)))</formula>
    </cfRule>
  </conditionalFormatting>
  <conditionalFormatting sqref="E276:E277 E280:E281">
    <cfRule type="containsText" dxfId="1033" priority="1862" operator="containsText" text="Pesquisa de Preços">
      <formula>NOT(ISERROR(SEARCH("Pesquisa de Preços",E276)))</formula>
    </cfRule>
  </conditionalFormatting>
  <conditionalFormatting sqref="E275">
    <cfRule type="containsText" dxfId="1032" priority="1861" operator="containsText" text="Pesquisa de Preços">
      <formula>NOT(ISERROR(SEARCH("Pesquisa de Preços",E275)))</formula>
    </cfRule>
  </conditionalFormatting>
  <conditionalFormatting sqref="E278:E279">
    <cfRule type="containsText" dxfId="1031" priority="1860" operator="containsText" text="Pesquisa de Preços">
      <formula>NOT(ISERROR(SEARCH("Pesquisa de Preços",E278)))</formula>
    </cfRule>
  </conditionalFormatting>
  <conditionalFormatting sqref="E283:E284 E287:E288">
    <cfRule type="containsText" dxfId="1030" priority="1859" operator="containsText" text="Pesquisa de Preços">
      <formula>NOT(ISERROR(SEARCH("Pesquisa de Preços",E283)))</formula>
    </cfRule>
  </conditionalFormatting>
  <conditionalFormatting sqref="E285:E286">
    <cfRule type="containsText" dxfId="1029" priority="1857" operator="containsText" text="Pesquisa de Preços">
      <formula>NOT(ISERROR(SEARCH("Pesquisa de Preços",E285)))</formula>
    </cfRule>
  </conditionalFormatting>
  <conditionalFormatting sqref="E268:E269 E273:E274">
    <cfRule type="containsText" dxfId="1028" priority="1856" operator="containsText" text="Pesquisa de Preços">
      <formula>NOT(ISERROR(SEARCH("Pesquisa de Preços",E268)))</formula>
    </cfRule>
  </conditionalFormatting>
  <conditionalFormatting sqref="E270:E272">
    <cfRule type="containsText" dxfId="1027" priority="1854" operator="containsText" text="Pesquisa de Preços">
      <formula>NOT(ISERROR(SEARCH("Pesquisa de Preços",E270)))</formula>
    </cfRule>
  </conditionalFormatting>
  <conditionalFormatting sqref="E319">
    <cfRule type="containsText" dxfId="1026" priority="1852" operator="containsText" text="Pesquisa de Preços">
      <formula>NOT(ISERROR(SEARCH("Pesquisa de Preços",E319)))</formula>
    </cfRule>
  </conditionalFormatting>
  <conditionalFormatting sqref="E535:E536 E538:E539">
    <cfRule type="containsText" dxfId="1025" priority="1800" operator="containsText" text="Pesquisa de Preços">
      <formula>NOT(ISERROR(SEARCH("Pesquisa de Preços",E535)))</formula>
    </cfRule>
  </conditionalFormatting>
  <conditionalFormatting sqref="E305">
    <cfRule type="containsText" dxfId="1024" priority="1851" operator="containsText" text="Pesquisa de Preços">
      <formula>NOT(ISERROR(SEARCH("Pesquisa de Preços",E305)))</formula>
    </cfRule>
  </conditionalFormatting>
  <conditionalFormatting sqref="E311:E313">
    <cfRule type="containsText" dxfId="1023" priority="1849" operator="containsText" text="Pesquisa de Preços">
      <formula>NOT(ISERROR(SEARCH("Pesquisa de Preços",E311)))</formula>
    </cfRule>
  </conditionalFormatting>
  <conditionalFormatting sqref="E340">
    <cfRule type="containsText" dxfId="1022" priority="1847" operator="containsText" text="Pesquisa de Preços">
      <formula>NOT(ISERROR(SEARCH("Pesquisa de Preços",E340)))</formula>
    </cfRule>
  </conditionalFormatting>
  <conditionalFormatting sqref="E1291">
    <cfRule type="containsText" dxfId="1021" priority="1602" operator="containsText" text="Pesquisa de Preços">
      <formula>NOT(ISERROR(SEARCH("Pesquisa de Preços",E1291)))</formula>
    </cfRule>
  </conditionalFormatting>
  <conditionalFormatting sqref="E351">
    <cfRule type="containsText" dxfId="1020" priority="1846" operator="containsText" text="Pesquisa de Preços">
      <formula>NOT(ISERROR(SEARCH("Pesquisa de Preços",E351)))</formula>
    </cfRule>
  </conditionalFormatting>
  <conditionalFormatting sqref="E350">
    <cfRule type="containsText" dxfId="1019" priority="1845" operator="containsText" text="Pesquisa de Preços">
      <formula>NOT(ISERROR(SEARCH("Pesquisa de Preços",E350)))</formula>
    </cfRule>
  </conditionalFormatting>
  <conditionalFormatting sqref="E354:E357">
    <cfRule type="containsText" dxfId="1018" priority="1844" operator="containsText" text="Pesquisa de Preços">
      <formula>NOT(ISERROR(SEARCH("Pesquisa de Preços",E354)))</formula>
    </cfRule>
  </conditionalFormatting>
  <conditionalFormatting sqref="E290:E291">
    <cfRule type="containsText" dxfId="1017" priority="1843" operator="containsText" text="Pesquisa de Preços">
      <formula>NOT(ISERROR(SEARCH("Pesquisa de Preços",E290)))</formula>
    </cfRule>
  </conditionalFormatting>
  <conditionalFormatting sqref="E297:E298">
    <cfRule type="containsText" dxfId="1016" priority="1841" operator="containsText" text="Pesquisa de Preços">
      <formula>NOT(ISERROR(SEARCH("Pesquisa de Preços",E297)))</formula>
    </cfRule>
  </conditionalFormatting>
  <conditionalFormatting sqref="E325">
    <cfRule type="containsText" dxfId="1015" priority="1839" operator="containsText" text="Pesquisa de Preços">
      <formula>NOT(ISERROR(SEARCH("Pesquisa de Preços",E325)))</formula>
    </cfRule>
  </conditionalFormatting>
  <conditionalFormatting sqref="E328:E338">
    <cfRule type="containsText" dxfId="1014" priority="1838" operator="containsText" text="Pesquisa de Preços">
      <formula>NOT(ISERROR(SEARCH("Pesquisa de Preços",E328)))</formula>
    </cfRule>
  </conditionalFormatting>
  <conditionalFormatting sqref="E365:E366 E368:E369">
    <cfRule type="containsText" dxfId="1013" priority="1837" operator="containsText" text="Pesquisa de Preços">
      <formula>NOT(ISERROR(SEARCH("Pesquisa de Preços",E365)))</formula>
    </cfRule>
  </conditionalFormatting>
  <conditionalFormatting sqref="E364">
    <cfRule type="containsText" dxfId="1012" priority="1836" operator="containsText" text="Pesquisa de Preços">
      <formula>NOT(ISERROR(SEARCH("Pesquisa de Preços",E364)))</formula>
    </cfRule>
  </conditionalFormatting>
  <conditionalFormatting sqref="E367">
    <cfRule type="containsText" dxfId="1011" priority="1835" operator="containsText" text="Pesquisa de Preços">
      <formula>NOT(ISERROR(SEARCH("Pesquisa de Preços",E367)))</formula>
    </cfRule>
  </conditionalFormatting>
  <conditionalFormatting sqref="E371:E372 E377:E378">
    <cfRule type="containsText" dxfId="1010" priority="1834" operator="containsText" text="Pesquisa de Preços">
      <formula>NOT(ISERROR(SEARCH("Pesquisa de Preços",E371)))</formula>
    </cfRule>
  </conditionalFormatting>
  <conditionalFormatting sqref="E370">
    <cfRule type="containsText" dxfId="1009" priority="1833" operator="containsText" text="Pesquisa de Preços">
      <formula>NOT(ISERROR(SEARCH("Pesquisa de Preços",E370)))</formula>
    </cfRule>
  </conditionalFormatting>
  <conditionalFormatting sqref="E373:E376">
    <cfRule type="containsText" dxfId="1008" priority="1832" operator="containsText" text="Pesquisa de Preços">
      <formula>NOT(ISERROR(SEARCH("Pesquisa de Preços",E373)))</formula>
    </cfRule>
  </conditionalFormatting>
  <conditionalFormatting sqref="E401">
    <cfRule type="containsText" dxfId="1007" priority="1831" operator="containsText" text="Pesquisa de Preços">
      <formula>NOT(ISERROR(SEARCH("Pesquisa de Preços",E401)))</formula>
    </cfRule>
  </conditionalFormatting>
  <conditionalFormatting sqref="E414">
    <cfRule type="containsText" dxfId="1006" priority="1828" operator="containsText" text="Pesquisa de Preços">
      <formula>NOT(ISERROR(SEARCH("Pesquisa de Preços",E414)))</formula>
    </cfRule>
  </conditionalFormatting>
  <conditionalFormatting sqref="E440:E441 E443:E444">
    <cfRule type="containsText" dxfId="1005" priority="1827" operator="containsText" text="Pesquisa de Preços">
      <formula>NOT(ISERROR(SEARCH("Pesquisa de Preços",E440)))</formula>
    </cfRule>
  </conditionalFormatting>
  <conditionalFormatting sqref="E439">
    <cfRule type="containsText" dxfId="1004" priority="1826" operator="containsText" text="Pesquisa de Preços">
      <formula>NOT(ISERROR(SEARCH("Pesquisa de Preços",E439)))</formula>
    </cfRule>
  </conditionalFormatting>
  <conditionalFormatting sqref="E442">
    <cfRule type="containsText" dxfId="1003" priority="1825" operator="containsText" text="Pesquisa de Preços">
      <formula>NOT(ISERROR(SEARCH("Pesquisa de Preços",E442)))</formula>
    </cfRule>
  </conditionalFormatting>
  <conditionalFormatting sqref="E434:E435 E437:E438">
    <cfRule type="containsText" dxfId="1002" priority="1824" operator="containsText" text="Pesquisa de Preços">
      <formula>NOT(ISERROR(SEARCH("Pesquisa de Preços",E434)))</formula>
    </cfRule>
  </conditionalFormatting>
  <conditionalFormatting sqref="E436">
    <cfRule type="containsText" dxfId="1001" priority="1822" operator="containsText" text="Pesquisa de Preços">
      <formula>NOT(ISERROR(SEARCH("Pesquisa de Preços",E436)))</formula>
    </cfRule>
  </conditionalFormatting>
  <conditionalFormatting sqref="E454:E455 E458:E462">
    <cfRule type="containsText" dxfId="1000" priority="1821" operator="containsText" text="Pesquisa de Preços">
      <formula>NOT(ISERROR(SEARCH("Pesquisa de Preços",E454)))</formula>
    </cfRule>
  </conditionalFormatting>
  <conditionalFormatting sqref="E453">
    <cfRule type="containsText" dxfId="999" priority="1820" operator="containsText" text="Pesquisa de Preços">
      <formula>NOT(ISERROR(SEARCH("Pesquisa de Preços",E453)))</formula>
    </cfRule>
  </conditionalFormatting>
  <conditionalFormatting sqref="E457">
    <cfRule type="containsText" dxfId="998" priority="1819" operator="containsText" text="Pesquisa de Preços">
      <formula>NOT(ISERROR(SEARCH("Pesquisa de Preços",E457)))</formula>
    </cfRule>
  </conditionalFormatting>
  <conditionalFormatting sqref="E464:E465 E468:E469">
    <cfRule type="containsText" dxfId="997" priority="1818" operator="containsText" text="Pesquisa de Preços">
      <formula>NOT(ISERROR(SEARCH("Pesquisa de Preços",E464)))</formula>
    </cfRule>
  </conditionalFormatting>
  <conditionalFormatting sqref="E463">
    <cfRule type="containsText" dxfId="996" priority="1817" operator="containsText" text="Pesquisa de Preços">
      <formula>NOT(ISERROR(SEARCH("Pesquisa de Preços",E463)))</formula>
    </cfRule>
  </conditionalFormatting>
  <conditionalFormatting sqref="E467">
    <cfRule type="containsText" dxfId="995" priority="1816" operator="containsText" text="Pesquisa de Preços">
      <formula>NOT(ISERROR(SEARCH("Pesquisa de Preços",E467)))</formula>
    </cfRule>
  </conditionalFormatting>
  <conditionalFormatting sqref="E471 E481">
    <cfRule type="containsText" dxfId="994" priority="1815" operator="containsText" text="Pesquisa de Preços">
      <formula>NOT(ISERROR(SEARCH("Pesquisa de Preços",E471)))</formula>
    </cfRule>
  </conditionalFormatting>
  <conditionalFormatting sqref="E470">
    <cfRule type="containsText" dxfId="993" priority="1814" operator="containsText" text="Pesquisa de Preços">
      <formula>NOT(ISERROR(SEARCH("Pesquisa de Preços",E470)))</formula>
    </cfRule>
  </conditionalFormatting>
  <conditionalFormatting sqref="E446 E450 E452">
    <cfRule type="containsText" dxfId="992" priority="1813" operator="containsText" text="Pesquisa de Preços">
      <formula>NOT(ISERROR(SEARCH("Pesquisa de Preços",E446)))</formula>
    </cfRule>
  </conditionalFormatting>
  <conditionalFormatting sqref="E445">
    <cfRule type="containsText" dxfId="991" priority="1812" operator="containsText" text="Pesquisa de Preços">
      <formula>NOT(ISERROR(SEARCH("Pesquisa de Preços",E445)))</formula>
    </cfRule>
  </conditionalFormatting>
  <conditionalFormatting sqref="E483:E484 E486:E487">
    <cfRule type="containsText" dxfId="990" priority="1811" operator="containsText" text="Pesquisa de Preços">
      <formula>NOT(ISERROR(SEARCH("Pesquisa de Preços",E483)))</formula>
    </cfRule>
  </conditionalFormatting>
  <conditionalFormatting sqref="E482">
    <cfRule type="containsText" dxfId="989" priority="1810" operator="containsText" text="Pesquisa de Preços">
      <formula>NOT(ISERROR(SEARCH("Pesquisa de Preços",E482)))</formula>
    </cfRule>
  </conditionalFormatting>
  <conditionalFormatting sqref="E485">
    <cfRule type="containsText" dxfId="988" priority="1809" operator="containsText" text="Pesquisa de Preços">
      <formula>NOT(ISERROR(SEARCH("Pesquisa de Preços",E485)))</formula>
    </cfRule>
  </conditionalFormatting>
  <conditionalFormatting sqref="E504:E505 E508:E509">
    <cfRule type="containsText" dxfId="987" priority="1808" operator="containsText" text="Pesquisa de Preços">
      <formula>NOT(ISERROR(SEARCH("Pesquisa de Preços",E504)))</formula>
    </cfRule>
  </conditionalFormatting>
  <conditionalFormatting sqref="E503">
    <cfRule type="containsText" dxfId="986" priority="1807" operator="containsText" text="Pesquisa de Preços">
      <formula>NOT(ISERROR(SEARCH("Pesquisa de Preços",E503)))</formula>
    </cfRule>
  </conditionalFormatting>
  <conditionalFormatting sqref="E1271">
    <cfRule type="containsText" dxfId="985" priority="1615" operator="containsText" text="Pesquisa de Preços">
      <formula>NOT(ISERROR(SEARCH("Pesquisa de Preços",E1271)))</formula>
    </cfRule>
  </conditionalFormatting>
  <conditionalFormatting sqref="E506:E507">
    <cfRule type="containsText" dxfId="984" priority="1806" operator="containsText" text="Pesquisa de Preços">
      <formula>NOT(ISERROR(SEARCH("Pesquisa de Preços",E506)))</formula>
    </cfRule>
  </conditionalFormatting>
  <conditionalFormatting sqref="E497 E502">
    <cfRule type="containsText" dxfId="983" priority="1805" operator="containsText" text="Pesquisa de Preços">
      <formula>NOT(ISERROR(SEARCH("Pesquisa de Preços",E497)))</formula>
    </cfRule>
  </conditionalFormatting>
  <conditionalFormatting sqref="E496">
    <cfRule type="containsText" dxfId="982" priority="1804" operator="containsText" text="Pesquisa de Preços">
      <formula>NOT(ISERROR(SEARCH("Pesquisa de Preços",E496)))</formula>
    </cfRule>
  </conditionalFormatting>
  <conditionalFormatting sqref="E1305">
    <cfRule type="containsText" dxfId="981" priority="1612" operator="containsText" text="Pesquisa de Preços">
      <formula>NOT(ISERROR(SEARCH("Pesquisa de Preços",E1305)))</formula>
    </cfRule>
  </conditionalFormatting>
  <conditionalFormatting sqref="E511:E512 E514:E515">
    <cfRule type="containsText" dxfId="980" priority="1803" operator="containsText" text="Pesquisa de Preços">
      <formula>NOT(ISERROR(SEARCH("Pesquisa de Preços",E511)))</formula>
    </cfRule>
  </conditionalFormatting>
  <conditionalFormatting sqref="E510">
    <cfRule type="containsText" dxfId="979" priority="1802" operator="containsText" text="Pesquisa de Preços">
      <formula>NOT(ISERROR(SEARCH("Pesquisa de Preços",E510)))</formula>
    </cfRule>
  </conditionalFormatting>
  <conditionalFormatting sqref="E1313">
    <cfRule type="containsText" dxfId="978" priority="1609" operator="containsText" text="Pesquisa de Preços">
      <formula>NOT(ISERROR(SEARCH("Pesquisa de Preços",E1313)))</formula>
    </cfRule>
  </conditionalFormatting>
  <conditionalFormatting sqref="E534">
    <cfRule type="containsText" dxfId="977" priority="1799" operator="containsText" text="Pesquisa de Preços">
      <formula>NOT(ISERROR(SEARCH("Pesquisa de Preços",E534)))</formula>
    </cfRule>
  </conditionalFormatting>
  <conditionalFormatting sqref="E1277">
    <cfRule type="containsText" dxfId="976" priority="1607" operator="containsText" text="Pesquisa de Preços">
      <formula>NOT(ISERROR(SEARCH("Pesquisa de Preços",E1277)))</formula>
    </cfRule>
  </conditionalFormatting>
  <conditionalFormatting sqref="E537">
    <cfRule type="containsText" dxfId="975" priority="1798" operator="containsText" text="Pesquisa de Preços">
      <formula>NOT(ISERROR(SEARCH("Pesquisa de Preços",E537)))</formula>
    </cfRule>
  </conditionalFormatting>
  <conditionalFormatting sqref="E488">
    <cfRule type="containsText" dxfId="974" priority="1796" operator="containsText" text="Pesquisa de Preços">
      <formula>NOT(ISERROR(SEARCH("Pesquisa de Preços",E488)))</formula>
    </cfRule>
  </conditionalFormatting>
  <conditionalFormatting sqref="E1284">
    <cfRule type="containsText" dxfId="973" priority="1604" operator="containsText" text="Pesquisa de Preços">
      <formula>NOT(ISERROR(SEARCH("Pesquisa de Preços",E1284)))</formula>
    </cfRule>
  </conditionalFormatting>
  <conditionalFormatting sqref="E526:E527 E530:E533">
    <cfRule type="containsText" dxfId="972" priority="1795" operator="containsText" text="Pesquisa de Preços">
      <formula>NOT(ISERROR(SEARCH("Pesquisa de Preços",E526)))</formula>
    </cfRule>
  </conditionalFormatting>
  <conditionalFormatting sqref="E525">
    <cfRule type="containsText" dxfId="971" priority="1794" operator="containsText" text="Pesquisa de Preços">
      <formula>NOT(ISERROR(SEARCH("Pesquisa de Preços",E525)))</formula>
    </cfRule>
  </conditionalFormatting>
  <conditionalFormatting sqref="E528:E529">
    <cfRule type="containsText" dxfId="970" priority="1793" operator="containsText" text="Pesquisa de Preços">
      <formula>NOT(ISERROR(SEARCH("Pesquisa de Preços",E528)))</formula>
    </cfRule>
  </conditionalFormatting>
  <conditionalFormatting sqref="E517 E524">
    <cfRule type="containsText" dxfId="969" priority="1792" operator="containsText" text="Pesquisa de Preços">
      <formula>NOT(ISERROR(SEARCH("Pesquisa de Preços",E517)))</formula>
    </cfRule>
  </conditionalFormatting>
  <conditionalFormatting sqref="E516">
    <cfRule type="containsText" dxfId="968" priority="1791" operator="containsText" text="Pesquisa de Preços">
      <formula>NOT(ISERROR(SEARCH("Pesquisa de Preços",E516)))</formula>
    </cfRule>
  </conditionalFormatting>
  <conditionalFormatting sqref="E1298">
    <cfRule type="containsText" dxfId="967" priority="1600" operator="containsText" text="Pesquisa de Preços">
      <formula>NOT(ISERROR(SEARCH("Pesquisa de Preços",E1298)))</formula>
    </cfRule>
  </conditionalFormatting>
  <conditionalFormatting sqref="E549:E550 E554:E555">
    <cfRule type="containsText" dxfId="966" priority="1790" operator="containsText" text="Pesquisa de Preços">
      <formula>NOT(ISERROR(SEARCH("Pesquisa de Preços",E549)))</formula>
    </cfRule>
  </conditionalFormatting>
  <conditionalFormatting sqref="E1339">
    <cfRule type="containsText" dxfId="965" priority="1598" operator="containsText" text="Pesquisa de Preços">
      <formula>NOT(ISERROR(SEARCH("Pesquisa de Preços",E1339)))</formula>
    </cfRule>
  </conditionalFormatting>
  <conditionalFormatting sqref="E551:E553">
    <cfRule type="containsText" dxfId="964" priority="1788" operator="containsText" text="Pesquisa de Preços">
      <formula>NOT(ISERROR(SEARCH("Pesquisa de Preços",E551)))</formula>
    </cfRule>
  </conditionalFormatting>
  <conditionalFormatting sqref="E557:E558 E562:E563">
    <cfRule type="containsText" dxfId="963" priority="1787" operator="containsText" text="Pesquisa de Preços">
      <formula>NOT(ISERROR(SEARCH("Pesquisa de Preços",E557)))</formula>
    </cfRule>
  </conditionalFormatting>
  <conditionalFormatting sqref="E1333">
    <cfRule type="containsText" dxfId="962" priority="1596" operator="containsText" text="Pesquisa de Preços">
      <formula>NOT(ISERROR(SEARCH("Pesquisa de Preços",E1333)))</formula>
    </cfRule>
  </conditionalFormatting>
  <conditionalFormatting sqref="E559:E561">
    <cfRule type="containsText" dxfId="961" priority="1785" operator="containsText" text="Pesquisa de Preços">
      <formula>NOT(ISERROR(SEARCH("Pesquisa de Preços",E559)))</formula>
    </cfRule>
  </conditionalFormatting>
  <conditionalFormatting sqref="E541:E542 E546:E547">
    <cfRule type="containsText" dxfId="960" priority="1784" operator="containsText" text="Pesquisa de Preços">
      <formula>NOT(ISERROR(SEARCH("Pesquisa de Preços",E541)))</formula>
    </cfRule>
  </conditionalFormatting>
  <conditionalFormatting sqref="E540">
    <cfRule type="containsText" dxfId="959" priority="1783" operator="containsText" text="Pesquisa de Preços">
      <formula>NOT(ISERROR(SEARCH("Pesquisa de Preços",E540)))</formula>
    </cfRule>
  </conditionalFormatting>
  <conditionalFormatting sqref="E1327">
    <cfRule type="containsText" dxfId="958" priority="1594" operator="containsText" text="Pesquisa de Preços">
      <formula>NOT(ISERROR(SEARCH("Pesquisa de Preços",E1327)))</formula>
    </cfRule>
  </conditionalFormatting>
  <conditionalFormatting sqref="E543:E545">
    <cfRule type="containsText" dxfId="957" priority="1782" operator="containsText" text="Pesquisa de Preços">
      <formula>NOT(ISERROR(SEARCH("Pesquisa de Preços",E543)))</formula>
    </cfRule>
  </conditionalFormatting>
  <conditionalFormatting sqref="E565:E566 E570:E571">
    <cfRule type="containsText" dxfId="956" priority="1781" operator="containsText" text="Pesquisa de Preços">
      <formula>NOT(ISERROR(SEARCH("Pesquisa de Preços",E565)))</formula>
    </cfRule>
  </conditionalFormatting>
  <conditionalFormatting sqref="E564">
    <cfRule type="containsText" dxfId="955" priority="1780" operator="containsText" text="Pesquisa de Preços">
      <formula>NOT(ISERROR(SEARCH("Pesquisa de Preços",E564)))</formula>
    </cfRule>
  </conditionalFormatting>
  <conditionalFormatting sqref="E1322">
    <cfRule type="containsText" dxfId="954" priority="1592" operator="containsText" text="Pesquisa de Preços">
      <formula>NOT(ISERROR(SEARCH("Pesquisa de Preços",E1322)))</formula>
    </cfRule>
  </conditionalFormatting>
  <conditionalFormatting sqref="E567:E569">
    <cfRule type="containsText" dxfId="953" priority="1779" operator="containsText" text="Pesquisa de Preços">
      <formula>NOT(ISERROR(SEARCH("Pesquisa de Preços",E567)))</formula>
    </cfRule>
  </conditionalFormatting>
  <conditionalFormatting sqref="E573:E574">
    <cfRule type="containsText" dxfId="952" priority="1778" operator="containsText" text="Pesquisa de Preços">
      <formula>NOT(ISERROR(SEARCH("Pesquisa de Preços",E573)))</formula>
    </cfRule>
  </conditionalFormatting>
  <conditionalFormatting sqref="E1345">
    <cfRule type="containsText" dxfId="951" priority="1590" operator="containsText" text="Pesquisa de Preços">
      <formula>NOT(ISERROR(SEARCH("Pesquisa de Preços",E1345)))</formula>
    </cfRule>
  </conditionalFormatting>
  <conditionalFormatting sqref="E583:E584 E587:E590">
    <cfRule type="containsText" dxfId="950" priority="1776" operator="containsText" text="Pesquisa de Preços">
      <formula>NOT(ISERROR(SEARCH("Pesquisa de Preços",E583)))</formula>
    </cfRule>
  </conditionalFormatting>
  <conditionalFormatting sqref="E1358">
    <cfRule type="containsText" dxfId="949" priority="1587" operator="containsText" text="Pesquisa de Preços">
      <formula>NOT(ISERROR(SEARCH("Pesquisa de Preços",E1358)))</formula>
    </cfRule>
  </conditionalFormatting>
  <conditionalFormatting sqref="E585:E586">
    <cfRule type="containsText" dxfId="948" priority="1774" operator="containsText" text="Pesquisa de Preços">
      <formula>NOT(ISERROR(SEARCH("Pesquisa de Preços",E585)))</formula>
    </cfRule>
  </conditionalFormatting>
  <conditionalFormatting sqref="E625 E630:E631">
    <cfRule type="containsText" dxfId="947" priority="1773" operator="containsText" text="Pesquisa de Preços">
      <formula>NOT(ISERROR(SEARCH("Pesquisa de Preços",E625)))</formula>
    </cfRule>
  </conditionalFormatting>
  <conditionalFormatting sqref="E624">
    <cfRule type="containsText" dxfId="946" priority="1772" operator="containsText" text="Pesquisa de Preços">
      <formula>NOT(ISERROR(SEARCH("Pesquisa de Preços",E624)))</formula>
    </cfRule>
  </conditionalFormatting>
  <conditionalFormatting sqref="E1352">
    <cfRule type="containsText" dxfId="945" priority="1584" operator="containsText" text="Pesquisa de Preços">
      <formula>NOT(ISERROR(SEARCH("Pesquisa de Preços",E1352)))</formula>
    </cfRule>
  </conditionalFormatting>
  <conditionalFormatting sqref="E1468">
    <cfRule type="containsText" dxfId="944" priority="1547" operator="containsText" text="Pesquisa de Preços">
      <formula>NOT(ISERROR(SEARCH("Pesquisa de Preços",E1468)))</formula>
    </cfRule>
  </conditionalFormatting>
  <conditionalFormatting sqref="E833">
    <cfRule type="containsText" dxfId="943" priority="1753" operator="containsText" text="Pesquisa de Preços">
      <formula>NOT(ISERROR(SEARCH("Pesquisa de Preços",E833)))</formula>
    </cfRule>
  </conditionalFormatting>
  <conditionalFormatting sqref="E1581">
    <cfRule type="containsText" dxfId="942" priority="1543" operator="containsText" text="Pesquisa de Preços">
      <formula>NOT(ISERROR(SEARCH("Pesquisa de Preços",E1581)))</formula>
    </cfRule>
  </conditionalFormatting>
  <conditionalFormatting sqref="E749">
    <cfRule type="containsText" dxfId="941" priority="1749" operator="containsText" text="Pesquisa de Preços">
      <formula>NOT(ISERROR(SEARCH("Pesquisa de Preços",E749)))</formula>
    </cfRule>
  </conditionalFormatting>
  <conditionalFormatting sqref="E679">
    <cfRule type="containsText" dxfId="940" priority="1770" operator="containsText" text="Pesquisa de Preços">
      <formula>NOT(ISERROR(SEARCH("Pesquisa de Preços",E679)))</formula>
    </cfRule>
  </conditionalFormatting>
  <conditionalFormatting sqref="E671">
    <cfRule type="containsText" dxfId="939" priority="1768" operator="containsText" text="Pesquisa de Preços">
      <formula>NOT(ISERROR(SEARCH("Pesquisa de Preços",E671)))</formula>
    </cfRule>
  </conditionalFormatting>
  <conditionalFormatting sqref="E715">
    <cfRule type="containsText" dxfId="938" priority="1763" operator="containsText" text="Pesquisa de Preços">
      <formula>NOT(ISERROR(SEARCH("Pesquisa de Preços",E715)))</formula>
    </cfRule>
  </conditionalFormatting>
  <conditionalFormatting sqref="E689">
    <cfRule type="containsText" dxfId="937" priority="1766" operator="containsText" text="Pesquisa de Preços">
      <formula>NOT(ISERROR(SEARCH("Pesquisa de Preços",E689)))</formula>
    </cfRule>
  </conditionalFormatting>
  <conditionalFormatting sqref="E759:E765">
    <cfRule type="containsText" dxfId="936" priority="1745" operator="containsText" text="Pesquisa de Preços">
      <formula>NOT(ISERROR(SEARCH("Pesquisa de Preços",E759)))</formula>
    </cfRule>
  </conditionalFormatting>
  <conditionalFormatting sqref="E692:E694">
    <cfRule type="containsText" dxfId="935" priority="1765" operator="containsText" text="Pesquisa de Preços">
      <formula>NOT(ISERROR(SEARCH("Pesquisa de Preços",E692)))</formula>
    </cfRule>
  </conditionalFormatting>
  <conditionalFormatting sqref="E725">
    <cfRule type="containsText" dxfId="934" priority="1760" operator="containsText" text="Pesquisa de Preços">
      <formula>NOT(ISERROR(SEARCH("Pesquisa de Preços",E725)))</formula>
    </cfRule>
  </conditionalFormatting>
  <conditionalFormatting sqref="E731">
    <cfRule type="containsText" dxfId="933" priority="1761" operator="containsText" text="Pesquisa de Preços">
      <formula>NOT(ISERROR(SEARCH("Pesquisa de Preços",E731)))</formula>
    </cfRule>
  </conditionalFormatting>
  <conditionalFormatting sqref="E828">
    <cfRule type="containsText" dxfId="932" priority="1741" operator="containsText" text="Pesquisa de Preços">
      <formula>NOT(ISERROR(SEARCH("Pesquisa de Preços",E828)))</formula>
    </cfRule>
  </conditionalFormatting>
  <conditionalFormatting sqref="E724">
    <cfRule type="containsText" dxfId="931" priority="1759" operator="containsText" text="Pesquisa de Preços">
      <formula>NOT(ISERROR(SEARCH("Pesquisa de Preços",E724)))</formula>
    </cfRule>
  </conditionalFormatting>
  <conditionalFormatting sqref="E768">
    <cfRule type="containsText" dxfId="930" priority="1736" operator="containsText" text="Pesquisa de Preços">
      <formula>NOT(ISERROR(SEARCH("Pesquisa de Preços",E768)))</formula>
    </cfRule>
  </conditionalFormatting>
  <conditionalFormatting sqref="E840">
    <cfRule type="containsText" dxfId="929" priority="1730" operator="containsText" text="Pesquisa de Preços">
      <formula>NOT(ISERROR(SEARCH("Pesquisa de Preços",E840)))</formula>
    </cfRule>
  </conditionalFormatting>
  <conditionalFormatting sqref="E746:E747">
    <cfRule type="containsText" dxfId="928" priority="1758" operator="containsText" text="Pesquisa de Preços">
      <formula>NOT(ISERROR(SEARCH("Pesquisa de Preços",E746)))</formula>
    </cfRule>
  </conditionalFormatting>
  <conditionalFormatting sqref="E745">
    <cfRule type="containsText" dxfId="927" priority="1757" operator="containsText" text="Pesquisa de Preços">
      <formula>NOT(ISERROR(SEARCH("Pesquisa de Preços",E745)))</formula>
    </cfRule>
  </conditionalFormatting>
  <conditionalFormatting sqref="E1423">
    <cfRule type="containsText" dxfId="926" priority="1549" operator="containsText" text="Pesquisa de Preços">
      <formula>NOT(ISERROR(SEARCH("Pesquisa de Preços",E1423)))</formula>
    </cfRule>
  </conditionalFormatting>
  <conditionalFormatting sqref="E791">
    <cfRule type="containsText" dxfId="925" priority="1755" operator="containsText" text="Pesquisa de Preços">
      <formula>NOT(ISERROR(SEARCH("Pesquisa de Preços",E791)))</formula>
    </cfRule>
  </conditionalFormatting>
  <conditionalFormatting sqref="E815">
    <cfRule type="containsText" dxfId="924" priority="1751" operator="containsText" text="Pesquisa de Preços">
      <formula>NOT(ISERROR(SEARCH("Pesquisa de Preços",E815)))</formula>
    </cfRule>
  </conditionalFormatting>
  <conditionalFormatting sqref="E752:E753">
    <cfRule type="containsText" dxfId="923" priority="1748" operator="containsText" text="Pesquisa de Preços">
      <formula>NOT(ISERROR(SEARCH("Pesquisa de Preços",E752)))</formula>
    </cfRule>
  </conditionalFormatting>
  <conditionalFormatting sqref="E756">
    <cfRule type="containsText" dxfId="922" priority="1746" operator="containsText" text="Pesquisa de Preços">
      <formula>NOT(ISERROR(SEARCH("Pesquisa de Preços",E756)))</formula>
    </cfRule>
  </conditionalFormatting>
  <conditionalFormatting sqref="E949">
    <cfRule type="containsText" dxfId="921" priority="1713" operator="containsText" text="Pesquisa de Preços">
      <formula>NOT(ISERROR(SEARCH("Pesquisa de Preços",E949)))</formula>
    </cfRule>
  </conditionalFormatting>
  <conditionalFormatting sqref="E824">
    <cfRule type="containsText" dxfId="920" priority="1743" operator="containsText" text="Pesquisa de Preços">
      <formula>NOT(ISERROR(SEARCH("Pesquisa de Preços",E824)))</formula>
    </cfRule>
  </conditionalFormatting>
  <conditionalFormatting sqref="E1672">
    <cfRule type="containsText" dxfId="919" priority="1507" operator="containsText" text="Pesquisa de Preços">
      <formula>NOT(ISERROR(SEARCH("Pesquisa de Preços",E1672)))</formula>
    </cfRule>
  </conditionalFormatting>
  <conditionalFormatting sqref="E805">
    <cfRule type="containsText" dxfId="918" priority="1739" operator="containsText" text="Pesquisa de Preços">
      <formula>NOT(ISERROR(SEARCH("Pesquisa de Preços",E805)))</formula>
    </cfRule>
  </conditionalFormatting>
  <conditionalFormatting sqref="E981">
    <cfRule type="containsText" dxfId="917" priority="1707" operator="containsText" text="Pesquisa de Preços">
      <formula>NOT(ISERROR(SEARCH("Pesquisa de Preços",E981)))</formula>
    </cfRule>
  </conditionalFormatting>
  <conditionalFormatting sqref="E820 E823">
    <cfRule type="containsText" dxfId="916" priority="1738" operator="containsText" text="Pesquisa de Preços">
      <formula>NOT(ISERROR(SEARCH("Pesquisa de Preços",E820)))</formula>
    </cfRule>
  </conditionalFormatting>
  <conditionalFormatting sqref="E819">
    <cfRule type="containsText" dxfId="915" priority="1737" operator="containsText" text="Pesquisa de Preços">
      <formula>NOT(ISERROR(SEARCH("Pesquisa de Preços",E819)))</formula>
    </cfRule>
  </conditionalFormatting>
  <conditionalFormatting sqref="E984:E989">
    <cfRule type="containsText" dxfId="914" priority="1706" operator="containsText" text="Pesquisa de Preços">
      <formula>NOT(ISERROR(SEARCH("Pesquisa de Preços",E984)))</formula>
    </cfRule>
  </conditionalFormatting>
  <conditionalFormatting sqref="E767">
    <cfRule type="containsText" dxfId="913" priority="1735" operator="containsText" text="Pesquisa de Preços">
      <formula>NOT(ISERROR(SEARCH("Pesquisa de Preços",E767)))</formula>
    </cfRule>
  </conditionalFormatting>
  <conditionalFormatting sqref="E1013">
    <cfRule type="containsText" dxfId="912" priority="1701" operator="containsText" text="Pesquisa de Preços">
      <formula>NOT(ISERROR(SEARCH("Pesquisa de Preços",E1013)))</formula>
    </cfRule>
  </conditionalFormatting>
  <conditionalFormatting sqref="E183:E184">
    <cfRule type="containsText" dxfId="911" priority="1734" operator="containsText" text="Pesquisa de Preços">
      <formula>NOT(ISERROR(SEARCH("Pesquisa de Preços",E183)))</formula>
    </cfRule>
  </conditionalFormatting>
  <conditionalFormatting sqref="E182">
    <cfRule type="containsText" dxfId="910" priority="1733" operator="containsText" text="Pesquisa de Preços">
      <formula>NOT(ISERROR(SEARCH("Pesquisa de Preços",E182)))</formula>
    </cfRule>
  </conditionalFormatting>
  <conditionalFormatting sqref="E1016:E1019">
    <cfRule type="containsText" dxfId="909" priority="1700" operator="containsText" text="Pesquisa de Preços">
      <formula>NOT(ISERROR(SEARCH("Pesquisa de Preços",E1016)))</formula>
    </cfRule>
  </conditionalFormatting>
  <conditionalFormatting sqref="E185:E187">
    <cfRule type="containsText" dxfId="908" priority="1732" operator="containsText" text="Pesquisa de Preços">
      <formula>NOT(ISERROR(SEARCH("Pesquisa de Preços",E185)))</formula>
    </cfRule>
  </conditionalFormatting>
  <conditionalFormatting sqref="E841 E844:E845">
    <cfRule type="containsText" dxfId="907" priority="1731" operator="containsText" text="Pesquisa de Preços">
      <formula>NOT(ISERROR(SEARCH("Pesquisa de Preços",E841)))</formula>
    </cfRule>
  </conditionalFormatting>
  <conditionalFormatting sqref="E1716">
    <cfRule type="containsText" dxfId="906" priority="1499" operator="containsText" text="Pesquisa de Preços">
      <formula>NOT(ISERROR(SEARCH("Pesquisa de Preços",E1716)))</formula>
    </cfRule>
  </conditionalFormatting>
  <conditionalFormatting sqref="E843">
    <cfRule type="containsText" dxfId="905" priority="1729" operator="containsText" text="Pesquisa de Preços">
      <formula>NOT(ISERROR(SEARCH("Pesquisa de Preços",E843)))</formula>
    </cfRule>
  </conditionalFormatting>
  <conditionalFormatting sqref="E915:E921">
    <cfRule type="containsText" dxfId="904" priority="1728" operator="containsText" text="Pesquisa de Preços">
      <formula>NOT(ISERROR(SEARCH("Pesquisa de Preços",E915)))</formula>
    </cfRule>
  </conditionalFormatting>
  <conditionalFormatting sqref="E914">
    <cfRule type="containsText" dxfId="903" priority="1727" operator="containsText" text="Pesquisa de Preços">
      <formula>NOT(ISERROR(SEARCH("Pesquisa de Preços",E914)))</formula>
    </cfRule>
  </conditionalFormatting>
  <conditionalFormatting sqref="E940:E946">
    <cfRule type="containsText" dxfId="902" priority="1726" operator="containsText" text="Pesquisa de Preços">
      <formula>NOT(ISERROR(SEARCH("Pesquisa de Preços",E940)))</formula>
    </cfRule>
  </conditionalFormatting>
  <conditionalFormatting sqref="E939">
    <cfRule type="containsText" dxfId="901" priority="1725" operator="containsText" text="Pesquisa de Preços">
      <formula>NOT(ISERROR(SEARCH("Pesquisa de Preços",E939)))</formula>
    </cfRule>
  </conditionalFormatting>
  <conditionalFormatting sqref="E1638">
    <cfRule type="containsText" dxfId="900" priority="1521" operator="containsText" text="Pesquisa de Preços">
      <formula>NOT(ISERROR(SEARCH("Pesquisa de Preços",E1638)))</formula>
    </cfRule>
  </conditionalFormatting>
  <conditionalFormatting sqref="E931">
    <cfRule type="containsText" dxfId="899" priority="1724" operator="containsText" text="Pesquisa de Preços">
      <formula>NOT(ISERROR(SEARCH("Pesquisa de Preços",E931)))</formula>
    </cfRule>
  </conditionalFormatting>
  <conditionalFormatting sqref="E930">
    <cfRule type="containsText" dxfId="898" priority="1723" operator="containsText" text="Pesquisa de Preços">
      <formula>NOT(ISERROR(SEARCH("Pesquisa de Preços",E930)))</formula>
    </cfRule>
  </conditionalFormatting>
  <conditionalFormatting sqref="E1643">
    <cfRule type="containsText" dxfId="897" priority="1519" operator="containsText" text="Pesquisa de Preços">
      <formula>NOT(ISERROR(SEARCH("Pesquisa de Preços",E1643)))</formula>
    </cfRule>
  </conditionalFormatting>
  <conditionalFormatting sqref="E923">
    <cfRule type="containsText" dxfId="896" priority="1721" operator="containsText" text="Pesquisa de Preços">
      <formula>NOT(ISERROR(SEARCH("Pesquisa de Preços",E923)))</formula>
    </cfRule>
  </conditionalFormatting>
  <conditionalFormatting sqref="E924 E929">
    <cfRule type="containsText" dxfId="895" priority="1722" operator="containsText" text="Pesquisa de Preços">
      <formula>NOT(ISERROR(SEARCH("Pesquisa de Preços",E924)))</formula>
    </cfRule>
  </conditionalFormatting>
  <conditionalFormatting sqref="E1614">
    <cfRule type="containsText" dxfId="894" priority="1515" operator="containsText" text="Pesquisa de Preços">
      <formula>NOT(ISERROR(SEARCH("Pesquisa de Preços",E1614)))</formula>
    </cfRule>
  </conditionalFormatting>
  <conditionalFormatting sqref="E970:E972">
    <cfRule type="containsText" dxfId="893" priority="1718" operator="containsText" text="Pesquisa de Preços">
      <formula>NOT(ISERROR(SEARCH("Pesquisa de Preços",E970)))</formula>
    </cfRule>
  </conditionalFormatting>
  <conditionalFormatting sqref="E968:E969">
    <cfRule type="containsText" dxfId="892" priority="1720" operator="containsText" text="Pesquisa de Preços">
      <formula>NOT(ISERROR(SEARCH("Pesquisa de Preços",E968)))</formula>
    </cfRule>
  </conditionalFormatting>
  <conditionalFormatting sqref="E967">
    <cfRule type="containsText" dxfId="891" priority="1719" operator="containsText" text="Pesquisa de Preços">
      <formula>NOT(ISERROR(SEARCH("Pesquisa de Preços",E967)))</formula>
    </cfRule>
  </conditionalFormatting>
  <conditionalFormatting sqref="E961">
    <cfRule type="containsText" dxfId="890" priority="1717" operator="containsText" text="Pesquisa de Preços">
      <formula>NOT(ISERROR(SEARCH("Pesquisa de Preços",E961)))</formula>
    </cfRule>
  </conditionalFormatting>
  <conditionalFormatting sqref="E960">
    <cfRule type="containsText" dxfId="889" priority="1716" operator="containsText" text="Pesquisa de Preços">
      <formula>NOT(ISERROR(SEARCH("Pesquisa de Preços",E960)))</formula>
    </cfRule>
  </conditionalFormatting>
  <conditionalFormatting sqref="E955 E959">
    <cfRule type="containsText" dxfId="888" priority="1715" operator="containsText" text="Pesquisa de Preços">
      <formula>NOT(ISERROR(SEARCH("Pesquisa de Preços",E955)))</formula>
    </cfRule>
  </conditionalFormatting>
  <conditionalFormatting sqref="E954">
    <cfRule type="containsText" dxfId="887" priority="1714" operator="containsText" text="Pesquisa de Preços">
      <formula>NOT(ISERROR(SEARCH("Pesquisa de Preços",E954)))</formula>
    </cfRule>
  </conditionalFormatting>
  <conditionalFormatting sqref="E1060">
    <cfRule type="containsText" dxfId="886" priority="1681" operator="containsText" text="Pesquisa de Preços">
      <formula>NOT(ISERROR(SEARCH("Pesquisa de Preços",E1060)))</formula>
    </cfRule>
  </conditionalFormatting>
  <conditionalFormatting sqref="E974">
    <cfRule type="containsText" dxfId="885" priority="1710" operator="containsText" text="Pesquisa de Preços">
      <formula>NOT(ISERROR(SEARCH("Pesquisa de Preços",E974)))</formula>
    </cfRule>
  </conditionalFormatting>
  <conditionalFormatting sqref="E948">
    <cfRule type="containsText" dxfId="884" priority="1712" operator="containsText" text="Pesquisa de Preços">
      <formula>NOT(ISERROR(SEARCH("Pesquisa de Preços",E948)))</formula>
    </cfRule>
  </conditionalFormatting>
  <conditionalFormatting sqref="E975:E976 E979:E980">
    <cfRule type="containsText" dxfId="883" priority="1711" operator="containsText" text="Pesquisa de Preços">
      <formula>NOT(ISERROR(SEARCH("Pesquisa de Preços",E975)))</formula>
    </cfRule>
  </conditionalFormatting>
  <conditionalFormatting sqref="E977:E978">
    <cfRule type="containsText" dxfId="882" priority="1709" operator="containsText" text="Pesquisa de Preços">
      <formula>NOT(ISERROR(SEARCH("Pesquisa de Preços",E977)))</formula>
    </cfRule>
  </conditionalFormatting>
  <conditionalFormatting sqref="E982:E983 E990:E991">
    <cfRule type="containsText" dxfId="881" priority="1708" operator="containsText" text="Pesquisa de Preços">
      <formula>NOT(ISERROR(SEARCH("Pesquisa de Preços",E982)))</formula>
    </cfRule>
  </conditionalFormatting>
  <conditionalFormatting sqref="E1661">
    <cfRule type="containsText" dxfId="880" priority="1505" operator="containsText" text="Pesquisa de Preços">
      <formula>NOT(ISERROR(SEARCH("Pesquisa de Preços",E1661)))</formula>
    </cfRule>
  </conditionalFormatting>
  <conditionalFormatting sqref="E993:E994 E1001:E1002">
    <cfRule type="containsText" dxfId="879" priority="1705" operator="containsText" text="Pesquisa de Preços">
      <formula>NOT(ISERROR(SEARCH("Pesquisa de Preços",E993)))</formula>
    </cfRule>
  </conditionalFormatting>
  <conditionalFormatting sqref="E992">
    <cfRule type="containsText" dxfId="878" priority="1704" operator="containsText" text="Pesquisa de Preços">
      <formula>NOT(ISERROR(SEARCH("Pesquisa de Preços",E992)))</formula>
    </cfRule>
  </conditionalFormatting>
  <conditionalFormatting sqref="E1738">
    <cfRule type="containsText" dxfId="877" priority="1503" operator="containsText" text="Pesquisa de Preços">
      <formula>NOT(ISERROR(SEARCH("Pesquisa de Preços",E1738)))</formula>
    </cfRule>
  </conditionalFormatting>
  <conditionalFormatting sqref="E999:E1000 E995:E997">
    <cfRule type="containsText" dxfId="876" priority="1703" operator="containsText" text="Pesquisa de Preços">
      <formula>NOT(ISERROR(SEARCH("Pesquisa de Preços",E995)))</formula>
    </cfRule>
  </conditionalFormatting>
  <conditionalFormatting sqref="E1014:E1015 E1020:E1021">
    <cfRule type="containsText" dxfId="875" priority="1702" operator="containsText" text="Pesquisa de Preços">
      <formula>NOT(ISERROR(SEARCH("Pesquisa de Preços",E1014)))</formula>
    </cfRule>
  </conditionalFormatting>
  <conditionalFormatting sqref="E1749">
    <cfRule type="containsText" dxfId="874" priority="1501" operator="containsText" text="Pesquisa de Preços">
      <formula>NOT(ISERROR(SEARCH("Pesquisa de Preços",E1749)))</formula>
    </cfRule>
  </conditionalFormatting>
  <conditionalFormatting sqref="E1004:E1005">
    <cfRule type="containsText" dxfId="873" priority="1699" operator="containsText" text="Pesquisa de Preços">
      <formula>NOT(ISERROR(SEARCH("Pesquisa de Preços",E1004)))</formula>
    </cfRule>
  </conditionalFormatting>
  <conditionalFormatting sqref="E1003">
    <cfRule type="containsText" dxfId="872" priority="1698" operator="containsText" text="Pesquisa de Preços">
      <formula>NOT(ISERROR(SEARCH("Pesquisa de Preços",E1003)))</formula>
    </cfRule>
  </conditionalFormatting>
  <conditionalFormatting sqref="E1008">
    <cfRule type="containsText" dxfId="871" priority="1696" operator="containsText" text="Pesquisa de Preços">
      <formula>NOT(ISERROR(SEARCH("Pesquisa de Preços",E1008)))</formula>
    </cfRule>
  </conditionalFormatting>
  <conditionalFormatting sqref="E1009:E1010">
    <cfRule type="containsText" dxfId="870" priority="1697" operator="containsText" text="Pesquisa de Preços">
      <formula>NOT(ISERROR(SEARCH("Pesquisa de Preços",E1009)))</formula>
    </cfRule>
  </conditionalFormatting>
  <conditionalFormatting sqref="E1727">
    <cfRule type="containsText" dxfId="869" priority="1497" operator="containsText" text="Pesquisa de Preços">
      <formula>NOT(ISERROR(SEARCH("Pesquisa de Preços",E1727)))</formula>
    </cfRule>
  </conditionalFormatting>
  <conditionalFormatting sqref="E1027">
    <cfRule type="containsText" dxfId="868" priority="1694" operator="containsText" text="Pesquisa de Preços">
      <formula>NOT(ISERROR(SEARCH("Pesquisa de Preços",E1027)))</formula>
    </cfRule>
  </conditionalFormatting>
  <conditionalFormatting sqref="E1028:E1029 E1036">
    <cfRule type="containsText" dxfId="867" priority="1695" operator="containsText" text="Pesquisa de Preços">
      <formula>NOT(ISERROR(SEARCH("Pesquisa de Preços",E1028)))</formula>
    </cfRule>
  </conditionalFormatting>
  <conditionalFormatting sqref="E1702">
    <cfRule type="containsText" dxfId="866" priority="1495" operator="containsText" text="Pesquisa de Preços">
      <formula>NOT(ISERROR(SEARCH("Pesquisa de Preços",E1702)))</formula>
    </cfRule>
  </conditionalFormatting>
  <conditionalFormatting sqref="E1031:E1034">
    <cfRule type="containsText" dxfId="865" priority="1693" operator="containsText" text="Pesquisa de Preços">
      <formula>NOT(ISERROR(SEARCH("Pesquisa de Preços",E1031)))</formula>
    </cfRule>
  </conditionalFormatting>
  <conditionalFormatting sqref="E1038:E1039 E1045">
    <cfRule type="containsText" dxfId="864" priority="1692" operator="containsText" text="Pesquisa de Preços">
      <formula>NOT(ISERROR(SEARCH("Pesquisa de Preços",E1038)))</formula>
    </cfRule>
  </conditionalFormatting>
  <conditionalFormatting sqref="E1037">
    <cfRule type="containsText" dxfId="863" priority="1691" operator="containsText" text="Pesquisa de Preços">
      <formula>NOT(ISERROR(SEARCH("Pesquisa de Preços",E1037)))</formula>
    </cfRule>
  </conditionalFormatting>
  <conditionalFormatting sqref="E1708">
    <cfRule type="containsText" dxfId="862" priority="1493" operator="containsText" text="Pesquisa de Preços">
      <formula>NOT(ISERROR(SEARCH("Pesquisa de Preços",E1708)))</formula>
    </cfRule>
  </conditionalFormatting>
  <conditionalFormatting sqref="E1023:E1024">
    <cfRule type="containsText" dxfId="861" priority="1690" operator="containsText" text="Pesquisa de Preços">
      <formula>NOT(ISERROR(SEARCH("Pesquisa de Preços",E1023)))</formula>
    </cfRule>
  </conditionalFormatting>
  <conditionalFormatting sqref="E1022">
    <cfRule type="containsText" dxfId="860" priority="1689" operator="containsText" text="Pesquisa de Preços">
      <formula>NOT(ISERROR(SEARCH("Pesquisa de Preços",E1022)))</formula>
    </cfRule>
  </conditionalFormatting>
  <conditionalFormatting sqref="E1025">
    <cfRule type="containsText" dxfId="859" priority="1688" operator="containsText" text="Pesquisa de Preços">
      <formula>NOT(ISERROR(SEARCH("Pesquisa de Preços",E1025)))</formula>
    </cfRule>
  </conditionalFormatting>
  <conditionalFormatting sqref="E1100:E1101">
    <cfRule type="containsText" dxfId="858" priority="1687" operator="containsText" text="Pesquisa de Preços">
      <formula>NOT(ISERROR(SEARCH("Pesquisa de Preços",E1100)))</formula>
    </cfRule>
  </conditionalFormatting>
  <conditionalFormatting sqref="E1099">
    <cfRule type="containsText" dxfId="857" priority="1686" operator="containsText" text="Pesquisa de Preços">
      <formula>NOT(ISERROR(SEARCH("Pesquisa de Preços",E1099)))</formula>
    </cfRule>
  </conditionalFormatting>
  <conditionalFormatting sqref="E1047:E1048 E1051:E1052">
    <cfRule type="containsText" dxfId="856" priority="1685" operator="containsText" text="Pesquisa de Preços">
      <formula>NOT(ISERROR(SEARCH("Pesquisa de Preços",E1047)))</formula>
    </cfRule>
  </conditionalFormatting>
  <conditionalFormatting sqref="E1046">
    <cfRule type="containsText" dxfId="855" priority="1684" operator="containsText" text="Pesquisa de Preços">
      <formula>NOT(ISERROR(SEARCH("Pesquisa de Preços",E1046)))</formula>
    </cfRule>
  </conditionalFormatting>
  <conditionalFormatting sqref="E1049:E1050">
    <cfRule type="containsText" dxfId="854" priority="1683" operator="containsText" text="Pesquisa de Preços">
      <formula>NOT(ISERROR(SEARCH("Pesquisa de Preços",E1049)))</formula>
    </cfRule>
  </conditionalFormatting>
  <conditionalFormatting sqref="E1061:E1062 E1066">
    <cfRule type="containsText" dxfId="853" priority="1682" operator="containsText" text="Pesquisa de Preços">
      <formula>NOT(ISERROR(SEARCH("Pesquisa de Preços",E1061)))</formula>
    </cfRule>
  </conditionalFormatting>
  <conditionalFormatting sqref="E1092:E1093 E1098">
    <cfRule type="containsText" dxfId="852" priority="1680" operator="containsText" text="Pesquisa de Preços">
      <formula>NOT(ISERROR(SEARCH("Pesquisa de Preços",E1092)))</formula>
    </cfRule>
  </conditionalFormatting>
  <conditionalFormatting sqref="E1091">
    <cfRule type="containsText" dxfId="851" priority="1679" operator="containsText" text="Pesquisa de Preços">
      <formula>NOT(ISERROR(SEARCH("Pesquisa de Preços",E1091)))</formula>
    </cfRule>
  </conditionalFormatting>
  <conditionalFormatting sqref="E1054:E1055">
    <cfRule type="containsText" dxfId="850" priority="1677" operator="containsText" text="Pesquisa de Preços">
      <formula>NOT(ISERROR(SEARCH("Pesquisa de Preços",E1054)))</formula>
    </cfRule>
  </conditionalFormatting>
  <conditionalFormatting sqref="E1053">
    <cfRule type="containsText" dxfId="849" priority="1676" operator="containsText" text="Pesquisa de Preços">
      <formula>NOT(ISERROR(SEARCH("Pesquisa de Preços",E1053)))</formula>
    </cfRule>
  </conditionalFormatting>
  <conditionalFormatting sqref="E1056:E1058">
    <cfRule type="containsText" dxfId="848" priority="1675" operator="containsText" text="Pesquisa de Preços">
      <formula>NOT(ISERROR(SEARCH("Pesquisa de Preços",E1056)))</formula>
    </cfRule>
  </conditionalFormatting>
  <conditionalFormatting sqref="E1068">
    <cfRule type="containsText" dxfId="847" priority="1674" operator="containsText" text="Pesquisa de Preços">
      <formula>NOT(ISERROR(SEARCH("Pesquisa de Preços",E1068)))</formula>
    </cfRule>
  </conditionalFormatting>
  <conditionalFormatting sqref="E1067">
    <cfRule type="containsText" dxfId="846" priority="1673" operator="containsText" text="Pesquisa de Preços">
      <formula>NOT(ISERROR(SEARCH("Pesquisa de Preços",E1067)))</formula>
    </cfRule>
  </conditionalFormatting>
  <conditionalFormatting sqref="E1084 E1090">
    <cfRule type="containsText" dxfId="845" priority="1672" operator="containsText" text="Pesquisa de Preços">
      <formula>NOT(ISERROR(SEARCH("Pesquisa de Preços",E1084)))</formula>
    </cfRule>
  </conditionalFormatting>
  <conditionalFormatting sqref="E1083">
    <cfRule type="containsText" dxfId="844" priority="1671" operator="containsText" text="Pesquisa de Preços">
      <formula>NOT(ISERROR(SEARCH("Pesquisa de Preços",E1083)))</formula>
    </cfRule>
  </conditionalFormatting>
  <conditionalFormatting sqref="E1075 E1082">
    <cfRule type="containsText" dxfId="843" priority="1670" operator="containsText" text="Pesquisa de Preços">
      <formula>NOT(ISERROR(SEARCH("Pesquisa de Preços",E1075)))</formula>
    </cfRule>
  </conditionalFormatting>
  <conditionalFormatting sqref="E1074">
    <cfRule type="containsText" dxfId="842" priority="1669" operator="containsText" text="Pesquisa de Preços">
      <formula>NOT(ISERROR(SEARCH("Pesquisa de Preços",E1074)))</formula>
    </cfRule>
  </conditionalFormatting>
  <conditionalFormatting sqref="E1123:E1124">
    <cfRule type="containsText" dxfId="841" priority="1668" operator="containsText" text="Pesquisa de Preços">
      <formula>NOT(ISERROR(SEARCH("Pesquisa de Preços",E1123)))</formula>
    </cfRule>
  </conditionalFormatting>
  <conditionalFormatting sqref="E1122">
    <cfRule type="containsText" dxfId="840" priority="1667" operator="containsText" text="Pesquisa de Preços">
      <formula>NOT(ISERROR(SEARCH("Pesquisa de Preços",E1122)))</formula>
    </cfRule>
  </conditionalFormatting>
  <conditionalFormatting sqref="E1125">
    <cfRule type="containsText" dxfId="839" priority="1666" operator="containsText" text="Pesquisa de Preços">
      <formula>NOT(ISERROR(SEARCH("Pesquisa de Preços",E1125)))</formula>
    </cfRule>
  </conditionalFormatting>
  <conditionalFormatting sqref="E1118:E1119">
    <cfRule type="containsText" dxfId="838" priority="1665" operator="containsText" text="Pesquisa de Preços">
      <formula>NOT(ISERROR(SEARCH("Pesquisa de Preços",E1118)))</formula>
    </cfRule>
  </conditionalFormatting>
  <conditionalFormatting sqref="E1117">
    <cfRule type="containsText" dxfId="837" priority="1664" operator="containsText" text="Pesquisa de Preços">
      <formula>NOT(ISERROR(SEARCH("Pesquisa de Preços",E1117)))</formula>
    </cfRule>
  </conditionalFormatting>
  <conditionalFormatting sqref="E1845">
    <cfRule type="containsText" dxfId="836" priority="1482" operator="containsText" text="Pesquisa de Preços">
      <formula>NOT(ISERROR(SEARCH("Pesquisa de Preços",E1845)))</formula>
    </cfRule>
  </conditionalFormatting>
  <conditionalFormatting sqref="E1244:E1245 E1249">
    <cfRule type="containsText" dxfId="835" priority="1663" operator="containsText" text="Pesquisa de Preços">
      <formula>NOT(ISERROR(SEARCH("Pesquisa de Preços",E1244)))</formula>
    </cfRule>
  </conditionalFormatting>
  <conditionalFormatting sqref="E1243">
    <cfRule type="containsText" dxfId="834" priority="1662" operator="containsText" text="Pesquisa de Preços">
      <formula>NOT(ISERROR(SEARCH("Pesquisa de Preços",E1243)))</formula>
    </cfRule>
  </conditionalFormatting>
  <conditionalFormatting sqref="E1851">
    <cfRule type="containsText" dxfId="833" priority="1479" operator="containsText" text="Pesquisa de Preços">
      <formula>NOT(ISERROR(SEARCH("Pesquisa de Preços",E1851)))</formula>
    </cfRule>
  </conditionalFormatting>
  <conditionalFormatting sqref="E1237:E1238 E1242">
    <cfRule type="containsText" dxfId="832" priority="1661" operator="containsText" text="Pesquisa de Preços">
      <formula>NOT(ISERROR(SEARCH("Pesquisa de Preços",E1237)))</formula>
    </cfRule>
  </conditionalFormatting>
  <conditionalFormatting sqref="E1236">
    <cfRule type="containsText" dxfId="831" priority="1660" operator="containsText" text="Pesquisa de Preços">
      <formula>NOT(ISERROR(SEARCH("Pesquisa de Preços",E1236)))</formula>
    </cfRule>
  </conditionalFormatting>
  <conditionalFormatting sqref="E1838">
    <cfRule type="containsText" dxfId="830" priority="1476" operator="containsText" text="Pesquisa de Preços">
      <formula>NOT(ISERROR(SEARCH("Pesquisa de Preços",E1838)))</formula>
    </cfRule>
  </conditionalFormatting>
  <conditionalFormatting sqref="E1230:E1231 E1235">
    <cfRule type="containsText" dxfId="829" priority="1659" operator="containsText" text="Pesquisa de Preços">
      <formula>NOT(ISERROR(SEARCH("Pesquisa de Preços",E1230)))</formula>
    </cfRule>
  </conditionalFormatting>
  <conditionalFormatting sqref="E1229">
    <cfRule type="containsText" dxfId="828" priority="1658" operator="containsText" text="Pesquisa de Preços">
      <formula>NOT(ISERROR(SEARCH("Pesquisa de Preços",E1229)))</formula>
    </cfRule>
  </conditionalFormatting>
  <conditionalFormatting sqref="E1857">
    <cfRule type="containsText" dxfId="827" priority="1474" operator="containsText" text="Pesquisa de Preços">
      <formula>NOT(ISERROR(SEARCH("Pesquisa de Preços",E1857)))</formula>
    </cfRule>
  </conditionalFormatting>
  <conditionalFormatting sqref="E1223:E1224 E1228">
    <cfRule type="containsText" dxfId="826" priority="1657" operator="containsText" text="Pesquisa de Preços">
      <formula>NOT(ISERROR(SEARCH("Pesquisa de Preços",E1223)))</formula>
    </cfRule>
  </conditionalFormatting>
  <conditionalFormatting sqref="E1222">
    <cfRule type="containsText" dxfId="825" priority="1656" operator="containsText" text="Pesquisa de Preços">
      <formula>NOT(ISERROR(SEARCH("Pesquisa de Preços",E1222)))</formula>
    </cfRule>
  </conditionalFormatting>
  <conditionalFormatting sqref="E1139:E1140 E1143:E1144">
    <cfRule type="containsText" dxfId="824" priority="1655" operator="containsText" text="Pesquisa de Preços">
      <formula>NOT(ISERROR(SEARCH("Pesquisa de Preços",E1139)))</formula>
    </cfRule>
  </conditionalFormatting>
  <conditionalFormatting sqref="E1138">
    <cfRule type="containsText" dxfId="823" priority="1654" operator="containsText" text="Pesquisa de Preços">
      <formula>NOT(ISERROR(SEARCH("Pesquisa de Preços",E1138)))</formula>
    </cfRule>
  </conditionalFormatting>
  <conditionalFormatting sqref="E1141:E1142">
    <cfRule type="containsText" dxfId="822" priority="1653" operator="containsText" text="Pesquisa de Preços">
      <formula>NOT(ISERROR(SEARCH("Pesquisa de Preços",E1141)))</formula>
    </cfRule>
  </conditionalFormatting>
  <conditionalFormatting sqref="E1128:E1129 E1131:E1132">
    <cfRule type="containsText" dxfId="821" priority="1652" operator="containsText" text="Pesquisa de Preços">
      <formula>NOT(ISERROR(SEARCH("Pesquisa de Preços",E1128)))</formula>
    </cfRule>
  </conditionalFormatting>
  <conditionalFormatting sqref="E1127">
    <cfRule type="containsText" dxfId="820" priority="1651" operator="containsText" text="Pesquisa de Preços">
      <formula>NOT(ISERROR(SEARCH("Pesquisa de Preços",E1127)))</formula>
    </cfRule>
  </conditionalFormatting>
  <conditionalFormatting sqref="E1130">
    <cfRule type="containsText" dxfId="819" priority="1650" operator="containsText" text="Pesquisa de Preços">
      <formula>NOT(ISERROR(SEARCH("Pesquisa de Preços",E1130)))</formula>
    </cfRule>
  </conditionalFormatting>
  <conditionalFormatting sqref="E1265 E1270">
    <cfRule type="containsText" dxfId="818" priority="1649" operator="containsText" text="Pesquisa de Preços">
      <formula>NOT(ISERROR(SEARCH("Pesquisa de Preços",E1265)))</formula>
    </cfRule>
  </conditionalFormatting>
  <conditionalFormatting sqref="E1264">
    <cfRule type="containsText" dxfId="817" priority="1648" operator="containsText" text="Pesquisa de Preços">
      <formula>NOT(ISERROR(SEARCH("Pesquisa de Preços",E1264)))</formula>
    </cfRule>
  </conditionalFormatting>
  <conditionalFormatting sqref="E1253:E1254">
    <cfRule type="containsText" dxfId="816" priority="1645" operator="containsText" text="Pesquisa de Preços">
      <formula>NOT(ISERROR(SEARCH("Pesquisa de Preços",E1253)))</formula>
    </cfRule>
  </conditionalFormatting>
  <conditionalFormatting sqref="E1251:E1252 E1255:E1256">
    <cfRule type="containsText" dxfId="815" priority="1647" operator="containsText" text="Pesquisa de Preços">
      <formula>NOT(ISERROR(SEARCH("Pesquisa de Preços",E1251)))</formula>
    </cfRule>
  </conditionalFormatting>
  <conditionalFormatting sqref="E1250">
    <cfRule type="containsText" dxfId="814" priority="1646" operator="containsText" text="Pesquisa de Preços">
      <formula>NOT(ISERROR(SEARCH("Pesquisa de Preços",E1250)))</formula>
    </cfRule>
  </conditionalFormatting>
  <conditionalFormatting sqref="E1153:E1154 E1157:E1158">
    <cfRule type="containsText" dxfId="813" priority="1644" operator="containsText" text="Pesquisa de Preços">
      <formula>NOT(ISERROR(SEARCH("Pesquisa de Preços",E1153)))</formula>
    </cfRule>
  </conditionalFormatting>
  <conditionalFormatting sqref="E1152">
    <cfRule type="containsText" dxfId="812" priority="1643" operator="containsText" text="Pesquisa de Preços">
      <formula>NOT(ISERROR(SEARCH("Pesquisa de Preços",E1152)))</formula>
    </cfRule>
  </conditionalFormatting>
  <conditionalFormatting sqref="E1155:E1156">
    <cfRule type="containsText" dxfId="811" priority="1642" operator="containsText" text="Pesquisa de Preços">
      <formula>NOT(ISERROR(SEARCH("Pesquisa de Preços",E1155)))</formula>
    </cfRule>
  </conditionalFormatting>
  <conditionalFormatting sqref="E1188:E1189 E1193">
    <cfRule type="containsText" dxfId="810" priority="1641" operator="containsText" text="Pesquisa de Preços">
      <formula>NOT(ISERROR(SEARCH("Pesquisa de Preços",E1188)))</formula>
    </cfRule>
  </conditionalFormatting>
  <conditionalFormatting sqref="E1187">
    <cfRule type="containsText" dxfId="809" priority="1640" operator="containsText" text="Pesquisa de Preços">
      <formula>NOT(ISERROR(SEARCH("Pesquisa de Preços",E1187)))</formula>
    </cfRule>
  </conditionalFormatting>
  <conditionalFormatting sqref="E1195:E1196 E1200">
    <cfRule type="containsText" dxfId="808" priority="1638" operator="containsText" text="Pesquisa de Preços">
      <formula>NOT(ISERROR(SEARCH("Pesquisa de Preços",E1195)))</formula>
    </cfRule>
  </conditionalFormatting>
  <conditionalFormatting sqref="E1194">
    <cfRule type="containsText" dxfId="807" priority="1637" operator="containsText" text="Pesquisa de Preços">
      <formula>NOT(ISERROR(SEARCH("Pesquisa de Preços",E1194)))</formula>
    </cfRule>
  </conditionalFormatting>
  <conditionalFormatting sqref="E1905">
    <cfRule type="containsText" dxfId="806" priority="1464" operator="containsText" text="Pesquisa de Preços">
      <formula>NOT(ISERROR(SEARCH("Pesquisa de Preços",E1905)))</formula>
    </cfRule>
  </conditionalFormatting>
  <conditionalFormatting sqref="E1202:E1203 E1207">
    <cfRule type="containsText" dxfId="805" priority="1635" operator="containsText" text="Pesquisa de Preços">
      <formula>NOT(ISERROR(SEARCH("Pesquisa de Preços",E1202)))</formula>
    </cfRule>
  </conditionalFormatting>
  <conditionalFormatting sqref="E1201">
    <cfRule type="containsText" dxfId="804" priority="1634" operator="containsText" text="Pesquisa de Preços">
      <formula>NOT(ISERROR(SEARCH("Pesquisa de Preços",E1201)))</formula>
    </cfRule>
  </conditionalFormatting>
  <conditionalFormatting sqref="E1911">
    <cfRule type="containsText" dxfId="803" priority="1461" operator="containsText" text="Pesquisa de Preços">
      <formula>NOT(ISERROR(SEARCH("Pesquisa de Preços",E1911)))</formula>
    </cfRule>
  </conditionalFormatting>
  <conditionalFormatting sqref="E1181:E1182 E1185:E1186">
    <cfRule type="containsText" dxfId="802" priority="1632" operator="containsText" text="Pesquisa de Preços">
      <formula>NOT(ISERROR(SEARCH("Pesquisa de Preços",E1181)))</formula>
    </cfRule>
  </conditionalFormatting>
  <conditionalFormatting sqref="E1180">
    <cfRule type="containsText" dxfId="801" priority="1631" operator="containsText" text="Pesquisa de Preços">
      <formula>NOT(ISERROR(SEARCH("Pesquisa de Preços",E1180)))</formula>
    </cfRule>
  </conditionalFormatting>
  <conditionalFormatting sqref="E1183:E1184">
    <cfRule type="containsText" dxfId="800" priority="1630" operator="containsText" text="Pesquisa de Preços">
      <formula>NOT(ISERROR(SEARCH("Pesquisa de Preços",E1183)))</formula>
    </cfRule>
  </conditionalFormatting>
  <conditionalFormatting sqref="E1146:E1147 E1150:E1151">
    <cfRule type="containsText" dxfId="799" priority="1629" operator="containsText" text="Pesquisa de Preços">
      <formula>NOT(ISERROR(SEARCH("Pesquisa de Preços",E1146)))</formula>
    </cfRule>
  </conditionalFormatting>
  <conditionalFormatting sqref="E1145">
    <cfRule type="containsText" dxfId="798" priority="1628" operator="containsText" text="Pesquisa de Preços">
      <formula>NOT(ISERROR(SEARCH("Pesquisa de Preços",E1145)))</formula>
    </cfRule>
  </conditionalFormatting>
  <conditionalFormatting sqref="E1927">
    <cfRule type="containsText" dxfId="797" priority="1458" operator="containsText" text="Pesquisa de Preços">
      <formula>NOT(ISERROR(SEARCH("Pesquisa de Preços",E1927)))</formula>
    </cfRule>
  </conditionalFormatting>
  <conditionalFormatting sqref="E1148:E1149">
    <cfRule type="containsText" dxfId="796" priority="1627" operator="containsText" text="Pesquisa de Preços">
      <formula>NOT(ISERROR(SEARCH("Pesquisa de Preços",E1148)))</formula>
    </cfRule>
  </conditionalFormatting>
  <conditionalFormatting sqref="E1167:E1168 E1171:E1172">
    <cfRule type="containsText" dxfId="795" priority="1626" operator="containsText" text="Pesquisa de Preços">
      <formula>NOT(ISERROR(SEARCH("Pesquisa de Preços",E1167)))</formula>
    </cfRule>
  </conditionalFormatting>
  <conditionalFormatting sqref="E1166">
    <cfRule type="containsText" dxfId="794" priority="1625" operator="containsText" text="Pesquisa de Preços">
      <formula>NOT(ISERROR(SEARCH("Pesquisa de Preços",E1166)))</formula>
    </cfRule>
  </conditionalFormatting>
  <conditionalFormatting sqref="E1922">
    <cfRule type="containsText" dxfId="793" priority="1456" operator="containsText" text="Pesquisa de Preços">
      <formula>NOT(ISERROR(SEARCH("Pesquisa de Preços",E1922)))</formula>
    </cfRule>
  </conditionalFormatting>
  <conditionalFormatting sqref="E1169:E1170">
    <cfRule type="containsText" dxfId="792" priority="1624" operator="containsText" text="Pesquisa de Preços">
      <formula>NOT(ISERROR(SEARCH("Pesquisa de Preços",E1169)))</formula>
    </cfRule>
  </conditionalFormatting>
  <conditionalFormatting sqref="E1174 E1179">
    <cfRule type="containsText" dxfId="791" priority="1623" operator="containsText" text="Pesquisa de Preços">
      <formula>NOT(ISERROR(SEARCH("Pesquisa de Preços",E1174)))</formula>
    </cfRule>
  </conditionalFormatting>
  <conditionalFormatting sqref="E1173">
    <cfRule type="containsText" dxfId="790" priority="1622" operator="containsText" text="Pesquisa de Preços">
      <formula>NOT(ISERROR(SEARCH("Pesquisa de Preços",E1173)))</formula>
    </cfRule>
  </conditionalFormatting>
  <conditionalFormatting sqref="E1932">
    <cfRule type="containsText" dxfId="789" priority="1454" operator="containsText" text="Pesquisa de Preços">
      <formula>NOT(ISERROR(SEARCH("Pesquisa de Preços",E1932)))</formula>
    </cfRule>
  </conditionalFormatting>
  <conditionalFormatting sqref="E1208">
    <cfRule type="containsText" dxfId="788" priority="1620" operator="containsText" text="Pesquisa de Preços">
      <formula>NOT(ISERROR(SEARCH("Pesquisa de Preços",E1208)))</formula>
    </cfRule>
  </conditionalFormatting>
  <conditionalFormatting sqref="E1209:E1210 E1214">
    <cfRule type="containsText" dxfId="787" priority="1621" operator="containsText" text="Pesquisa de Preços">
      <formula>NOT(ISERROR(SEARCH("Pesquisa de Preços",E1209)))</formula>
    </cfRule>
  </conditionalFormatting>
  <conditionalFormatting sqref="E1953">
    <cfRule type="containsText" dxfId="786" priority="1452" operator="containsText" text="Pesquisa de Preços">
      <formula>NOT(ISERROR(SEARCH("Pesquisa de Preços",E1953)))</formula>
    </cfRule>
  </conditionalFormatting>
  <conditionalFormatting sqref="E1211:E1212">
    <cfRule type="containsText" dxfId="785" priority="1619" operator="containsText" text="Pesquisa de Preços">
      <formula>NOT(ISERROR(SEARCH("Pesquisa de Preços",E1211)))</formula>
    </cfRule>
  </conditionalFormatting>
  <conditionalFormatting sqref="E1134">
    <cfRule type="containsText" dxfId="784" priority="1618" operator="containsText" text="Pesquisa de Preços">
      <formula>NOT(ISERROR(SEARCH("Pesquisa de Preços",E1134)))</formula>
    </cfRule>
  </conditionalFormatting>
  <conditionalFormatting sqref="E1133">
    <cfRule type="containsText" dxfId="783" priority="1617" operator="containsText" text="Pesquisa de Preços">
      <formula>NOT(ISERROR(SEARCH("Pesquisa de Preços",E1133)))</formula>
    </cfRule>
  </conditionalFormatting>
  <conditionalFormatting sqref="E1272:E1273 E1275:E1276">
    <cfRule type="containsText" dxfId="782" priority="1616" operator="containsText" text="Pesquisa de Preços">
      <formula>NOT(ISERROR(SEARCH("Pesquisa de Preços",E1272)))</formula>
    </cfRule>
  </conditionalFormatting>
  <conditionalFormatting sqref="E1274">
    <cfRule type="containsText" dxfId="781" priority="1614" operator="containsText" text="Pesquisa de Preços">
      <formula>NOT(ISERROR(SEARCH("Pesquisa de Preços",E1274)))</formula>
    </cfRule>
  </conditionalFormatting>
  <conditionalFormatting sqref="E1306:E1307 E1311:E1312">
    <cfRule type="containsText" dxfId="780" priority="1613" operator="containsText" text="Pesquisa de Preços">
      <formula>NOT(ISERROR(SEARCH("Pesquisa de Preços",E1306)))</formula>
    </cfRule>
  </conditionalFormatting>
  <conditionalFormatting sqref="E1308:E1310">
    <cfRule type="containsText" dxfId="779" priority="1611" operator="containsText" text="Pesquisa de Preços">
      <formula>NOT(ISERROR(SEARCH("Pesquisa de Preços",E1308)))</formula>
    </cfRule>
  </conditionalFormatting>
  <conditionalFormatting sqref="E1314 E1320:E1321">
    <cfRule type="containsText" dxfId="778" priority="1610" operator="containsText" text="Pesquisa de Preços">
      <formula>NOT(ISERROR(SEARCH("Pesquisa de Preços",E1314)))</formula>
    </cfRule>
  </conditionalFormatting>
  <conditionalFormatting sqref="E1402:E1403 E1406:E1407">
    <cfRule type="containsText" dxfId="777" priority="1581" operator="containsText" text="Pesquisa de Preços">
      <formula>NOT(ISERROR(SEARCH("Pesquisa de Preços",E1402)))</formula>
    </cfRule>
  </conditionalFormatting>
  <conditionalFormatting sqref="E1278:E1279">
    <cfRule type="containsText" dxfId="776" priority="1608" operator="containsText" text="Pesquisa de Preços">
      <formula>NOT(ISERROR(SEARCH("Pesquisa de Preços",E1278)))</formula>
    </cfRule>
  </conditionalFormatting>
  <conditionalFormatting sqref="E1280:E1282">
    <cfRule type="containsText" dxfId="775" priority="1606" operator="containsText" text="Pesquisa de Preços">
      <formula>NOT(ISERROR(SEARCH("Pesquisa de Preços",E1280)))</formula>
    </cfRule>
  </conditionalFormatting>
  <conditionalFormatting sqref="E1285:E1286 E1290">
    <cfRule type="containsText" dxfId="774" priority="1605" operator="containsText" text="Pesquisa de Preços">
      <formula>NOT(ISERROR(SEARCH("Pesquisa de Preços",E1285)))</formula>
    </cfRule>
  </conditionalFormatting>
  <conditionalFormatting sqref="E1979">
    <cfRule type="containsText" dxfId="773" priority="1445" operator="containsText" text="Pesquisa de Preços">
      <formula>NOT(ISERROR(SEARCH("Pesquisa de Preços",E1979)))</formula>
    </cfRule>
  </conditionalFormatting>
  <conditionalFormatting sqref="E1292:E1293 E1297">
    <cfRule type="containsText" dxfId="772" priority="1603" operator="containsText" text="Pesquisa de Preços">
      <formula>NOT(ISERROR(SEARCH("Pesquisa de Preços",E1292)))</formula>
    </cfRule>
  </conditionalFormatting>
  <conditionalFormatting sqref="E1972">
    <cfRule type="containsText" dxfId="771" priority="1443" operator="containsText" text="Pesquisa de Preços">
      <formula>NOT(ISERROR(SEARCH("Pesquisa de Preços",E1972)))</formula>
    </cfRule>
  </conditionalFormatting>
  <conditionalFormatting sqref="E1299 E1302 E1304">
    <cfRule type="containsText" dxfId="770" priority="1601" operator="containsText" text="Pesquisa de Preços">
      <formula>NOT(ISERROR(SEARCH("Pesquisa de Preços",E1299)))</formula>
    </cfRule>
  </conditionalFormatting>
  <conditionalFormatting sqref="E1334:E1335">
    <cfRule type="containsText" dxfId="769" priority="1597" operator="containsText" text="Pesquisa de Preços">
      <formula>NOT(ISERROR(SEARCH("Pesquisa de Preços",E1334)))</formula>
    </cfRule>
  </conditionalFormatting>
  <conditionalFormatting sqref="E1340:E1341">
    <cfRule type="containsText" dxfId="768" priority="1599" operator="containsText" text="Pesquisa de Preços">
      <formula>NOT(ISERROR(SEARCH("Pesquisa de Preços",E1340)))</formula>
    </cfRule>
  </conditionalFormatting>
  <conditionalFormatting sqref="E2016">
    <cfRule type="containsText" dxfId="767" priority="1437" operator="containsText" text="Pesquisa de Preços">
      <formula>NOT(ISERROR(SEARCH("Pesquisa de Preços",E2016)))</formula>
    </cfRule>
  </conditionalFormatting>
  <conditionalFormatting sqref="E1323:E1324">
    <cfRule type="containsText" dxfId="766" priority="1593" operator="containsText" text="Pesquisa de Preços">
      <formula>NOT(ISERROR(SEARCH("Pesquisa de Preços",E1323)))</formula>
    </cfRule>
  </conditionalFormatting>
  <conditionalFormatting sqref="E2009">
    <cfRule type="containsText" dxfId="765" priority="1435" operator="containsText" text="Pesquisa de Preços">
      <formula>NOT(ISERROR(SEARCH("Pesquisa de Preços",E2009)))</formula>
    </cfRule>
  </conditionalFormatting>
  <conditionalFormatting sqref="E1328:E1329">
    <cfRule type="containsText" dxfId="764" priority="1595" operator="containsText" text="Pesquisa de Preços">
      <formula>NOT(ISERROR(SEARCH("Pesquisa de Preços",E1328)))</formula>
    </cfRule>
  </conditionalFormatting>
  <conditionalFormatting sqref="E2002">
    <cfRule type="containsText" dxfId="763" priority="1432" operator="containsText" text="Pesquisa de Preços">
      <formula>NOT(ISERROR(SEARCH("Pesquisa de Preços",E2002)))</formula>
    </cfRule>
  </conditionalFormatting>
  <conditionalFormatting sqref="E1995">
    <cfRule type="containsText" dxfId="762" priority="1429" operator="containsText" text="Pesquisa de Preços">
      <formula>NOT(ISERROR(SEARCH("Pesquisa de Preços",E1995)))</formula>
    </cfRule>
  </conditionalFormatting>
  <conditionalFormatting sqref="E1346:E1347 E1350:E1351">
    <cfRule type="containsText" dxfId="761" priority="1591" operator="containsText" text="Pesquisa de Preços">
      <formula>NOT(ISERROR(SEARCH("Pesquisa de Preços",E1346)))</formula>
    </cfRule>
  </conditionalFormatting>
  <conditionalFormatting sqref="E1520">
    <cfRule type="containsText" dxfId="760" priority="1564" operator="containsText" text="Pesquisa de Preços">
      <formula>NOT(ISERROR(SEARCH("Pesquisa de Preços",E1520)))</formula>
    </cfRule>
  </conditionalFormatting>
  <conditionalFormatting sqref="E1348:E1349">
    <cfRule type="containsText" dxfId="759" priority="1589" operator="containsText" text="Pesquisa de Preços">
      <formula>NOT(ISERROR(SEARCH("Pesquisa de Preços",E1348)))</formula>
    </cfRule>
  </conditionalFormatting>
  <conditionalFormatting sqref="E1359:E1360 E1363:E1364">
    <cfRule type="containsText" dxfId="758" priority="1588" operator="containsText" text="Pesquisa de Preços">
      <formula>NOT(ISERROR(SEARCH("Pesquisa de Preços",E1359)))</formula>
    </cfRule>
  </conditionalFormatting>
  <conditionalFormatting sqref="E1528">
    <cfRule type="containsText" dxfId="757" priority="1565" operator="containsText" text="Pesquisa de Preços">
      <formula>NOT(ISERROR(SEARCH("Pesquisa de Preços",E1528)))</formula>
    </cfRule>
  </conditionalFormatting>
  <conditionalFormatting sqref="E1361:E1362">
    <cfRule type="containsText" dxfId="756" priority="1586" operator="containsText" text="Pesquisa de Preços">
      <formula>NOT(ISERROR(SEARCH("Pesquisa de Preços",E1361)))</formula>
    </cfRule>
  </conditionalFormatting>
  <conditionalFormatting sqref="E1353 E1356:E1357">
    <cfRule type="containsText" dxfId="755" priority="1585" operator="containsText" text="Pesquisa de Preços">
      <formula>NOT(ISERROR(SEARCH("Pesquisa de Preços",E1353)))</formula>
    </cfRule>
  </conditionalFormatting>
  <conditionalFormatting sqref="E1401">
    <cfRule type="containsText" dxfId="754" priority="1580" operator="containsText" text="Pesquisa de Preços">
      <formula>NOT(ISERROR(SEARCH("Pesquisa de Preços",E1401)))</formula>
    </cfRule>
  </conditionalFormatting>
  <conditionalFormatting sqref="E1366 E1369:E1370">
    <cfRule type="containsText" dxfId="753" priority="1583" operator="containsText" text="Pesquisa de Preços">
      <formula>NOT(ISERROR(SEARCH("Pesquisa de Preços",E1366)))</formula>
    </cfRule>
  </conditionalFormatting>
  <conditionalFormatting sqref="E1365">
    <cfRule type="containsText" dxfId="752" priority="1582" operator="containsText" text="Pesquisa de Preços">
      <formula>NOT(ISERROR(SEARCH("Pesquisa de Preços",E1365)))</formula>
    </cfRule>
  </conditionalFormatting>
  <conditionalFormatting sqref="E1404:E1405">
    <cfRule type="containsText" dxfId="751" priority="1579" operator="containsText" text="Pesquisa de Preços">
      <formula>NOT(ISERROR(SEARCH("Pesquisa de Preços",E1404)))</formula>
    </cfRule>
  </conditionalFormatting>
  <conditionalFormatting sqref="E2171">
    <cfRule type="containsText" dxfId="750" priority="1418" operator="containsText" text="Pesquisa de Preços">
      <formula>NOT(ISERROR(SEARCH("Pesquisa de Preços",E2171)))</formula>
    </cfRule>
  </conditionalFormatting>
  <conditionalFormatting sqref="E1372:E1373 E1375:E1376">
    <cfRule type="containsText" dxfId="749" priority="1578" operator="containsText" text="Pesquisa de Preços">
      <formula>NOT(ISERROR(SEARCH("Pesquisa de Preços",E1372)))</formula>
    </cfRule>
  </conditionalFormatting>
  <conditionalFormatting sqref="E1371">
    <cfRule type="containsText" dxfId="748" priority="1577" operator="containsText" text="Pesquisa de Preços">
      <formula>NOT(ISERROR(SEARCH("Pesquisa de Preços",E1371)))</formula>
    </cfRule>
  </conditionalFormatting>
  <conditionalFormatting sqref="E1382">
    <cfRule type="containsText" dxfId="747" priority="1576" operator="containsText" text="Pesquisa de Preços">
      <formula>NOT(ISERROR(SEARCH("Pesquisa de Preços",E1382)))</formula>
    </cfRule>
  </conditionalFormatting>
  <conditionalFormatting sqref="E1388">
    <cfRule type="containsText" dxfId="746" priority="1575" operator="containsText" text="Pesquisa de Preços">
      <formula>NOT(ISERROR(SEARCH("Pesquisa de Preços",E1388)))</formula>
    </cfRule>
  </conditionalFormatting>
  <conditionalFormatting sqref="E1409 E1422">
    <cfRule type="containsText" dxfId="745" priority="1554" operator="containsText" text="Pesquisa de Preços">
      <formula>NOT(ISERROR(SEARCH("Pesquisa de Preços",E1409)))</formula>
    </cfRule>
  </conditionalFormatting>
  <conditionalFormatting sqref="E1560">
    <cfRule type="containsText" dxfId="744" priority="1573" operator="containsText" text="Pesquisa de Preços">
      <formula>NOT(ISERROR(SEARCH("Pesquisa de Preços",E1560)))</formula>
    </cfRule>
  </conditionalFormatting>
  <conditionalFormatting sqref="E1561:E1562">
    <cfRule type="containsText" dxfId="743" priority="1574" operator="containsText" text="Pesquisa de Preços">
      <formula>NOT(ISERROR(SEARCH("Pesquisa de Preços",E1561)))</formula>
    </cfRule>
  </conditionalFormatting>
  <conditionalFormatting sqref="E1563 E1565">
    <cfRule type="containsText" dxfId="742" priority="1572" operator="containsText" text="Pesquisa de Preços">
      <formula>NOT(ISERROR(SEARCH("Pesquisa de Preços",E1563)))</formula>
    </cfRule>
  </conditionalFormatting>
  <conditionalFormatting sqref="E1554:E1555">
    <cfRule type="containsText" dxfId="741" priority="1571" operator="containsText" text="Pesquisa de Preços">
      <formula>NOT(ISERROR(SEARCH("Pesquisa de Preços",E1554)))</formula>
    </cfRule>
  </conditionalFormatting>
  <conditionalFormatting sqref="E1553">
    <cfRule type="containsText" dxfId="740" priority="1570" operator="containsText" text="Pesquisa de Preços">
      <formula>NOT(ISERROR(SEARCH("Pesquisa de Preços",E1553)))</formula>
    </cfRule>
  </conditionalFormatting>
  <conditionalFormatting sqref="E2045">
    <cfRule type="containsText" dxfId="739" priority="1412" operator="containsText" text="Pesquisa de Preços">
      <formula>NOT(ISERROR(SEARCH("Pesquisa de Preços",E2045)))</formula>
    </cfRule>
  </conditionalFormatting>
  <conditionalFormatting sqref="E1546 E1552">
    <cfRule type="containsText" dxfId="738" priority="1569" operator="containsText" text="Pesquisa de Preços">
      <formula>NOT(ISERROR(SEARCH("Pesquisa de Preços",E1546)))</formula>
    </cfRule>
  </conditionalFormatting>
  <conditionalFormatting sqref="E1545">
    <cfRule type="containsText" dxfId="737" priority="1568" operator="containsText" text="Pesquisa de Preços">
      <formula>NOT(ISERROR(SEARCH("Pesquisa de Preços",E1545)))</formula>
    </cfRule>
  </conditionalFormatting>
  <conditionalFormatting sqref="E1530">
    <cfRule type="containsText" dxfId="736" priority="1567" operator="containsText" text="Pesquisa de Preços">
      <formula>NOT(ISERROR(SEARCH("Pesquisa de Preços",E1530)))</formula>
    </cfRule>
  </conditionalFormatting>
  <conditionalFormatting sqref="E1529">
    <cfRule type="containsText" dxfId="735" priority="1566" operator="containsText" text="Pesquisa de Preços">
      <formula>NOT(ISERROR(SEARCH("Pesquisa de Preços",E1529)))</formula>
    </cfRule>
  </conditionalFormatting>
  <conditionalFormatting sqref="E1568:E1569 E1572:E1573">
    <cfRule type="containsText" dxfId="734" priority="1559" operator="containsText" text="Pesquisa de Preços">
      <formula>NOT(ISERROR(SEARCH("Pesquisa de Preços",E1568)))</formula>
    </cfRule>
  </conditionalFormatting>
  <conditionalFormatting sqref="E1497">
    <cfRule type="containsText" dxfId="733" priority="1545" operator="containsText" text="Pesquisa de Preços">
      <formula>NOT(ISERROR(SEARCH("Pesquisa de Preços",E1497)))</formula>
    </cfRule>
  </conditionalFormatting>
  <conditionalFormatting sqref="E1499 E1512">
    <cfRule type="containsText" dxfId="732" priority="1556" operator="containsText" text="Pesquisa de Preços">
      <formula>NOT(ISERROR(SEARCH("Pesquisa de Preços",E1499)))</formula>
    </cfRule>
  </conditionalFormatting>
  <conditionalFormatting sqref="E1498">
    <cfRule type="containsText" dxfId="731" priority="1555" operator="containsText" text="Pesquisa de Preços">
      <formula>NOT(ISERROR(SEARCH("Pesquisa de Preços",E1498)))</formula>
    </cfRule>
  </conditionalFormatting>
  <conditionalFormatting sqref="E1544">
    <cfRule type="containsText" dxfId="730" priority="1563" operator="containsText" text="Pesquisa de Preços">
      <formula>NOT(ISERROR(SEARCH("Pesquisa de Preços",E1544)))</formula>
    </cfRule>
  </conditionalFormatting>
  <conditionalFormatting sqref="E1575:E1576 E1579:E1580">
    <cfRule type="containsText" dxfId="729" priority="1562" operator="containsText" text="Pesquisa de Preços">
      <formula>NOT(ISERROR(SEARCH("Pesquisa de Preços",E1575)))</formula>
    </cfRule>
  </conditionalFormatting>
  <conditionalFormatting sqref="E1574">
    <cfRule type="containsText" dxfId="728" priority="1561" operator="containsText" text="Pesquisa de Preços">
      <formula>NOT(ISERROR(SEARCH("Pesquisa de Preços",E1574)))</formula>
    </cfRule>
  </conditionalFormatting>
  <conditionalFormatting sqref="E1578">
    <cfRule type="containsText" dxfId="727" priority="1560" operator="containsText" text="Pesquisa de Preços">
      <formula>NOT(ISERROR(SEARCH("Pesquisa de Preços",E1578)))</formula>
    </cfRule>
  </conditionalFormatting>
  <conditionalFormatting sqref="E1567">
    <cfRule type="containsText" dxfId="726" priority="1558" operator="containsText" text="Pesquisa de Preços">
      <formula>NOT(ISERROR(SEARCH("Pesquisa de Preços",E1567)))</formula>
    </cfRule>
  </conditionalFormatting>
  <conditionalFormatting sqref="E1570:E1571">
    <cfRule type="containsText" dxfId="725" priority="1557" operator="containsText" text="Pesquisa de Preços">
      <formula>NOT(ISERROR(SEARCH("Pesquisa de Preços",E1570)))</formula>
    </cfRule>
  </conditionalFormatting>
  <conditionalFormatting sqref="E1621">
    <cfRule type="containsText" dxfId="724" priority="1523" operator="containsText" text="Pesquisa de Preços">
      <formula>NOT(ISERROR(SEARCH("Pesquisa de Preços",E1621)))</formula>
    </cfRule>
  </conditionalFormatting>
  <conditionalFormatting sqref="E1408">
    <cfRule type="containsText" dxfId="723" priority="1553" operator="containsText" text="Pesquisa de Preços">
      <formula>NOT(ISERROR(SEARCH("Pesquisa de Preços",E1408)))</formula>
    </cfRule>
  </conditionalFormatting>
  <conditionalFormatting sqref="E1615 E1619:E1620">
    <cfRule type="containsText" dxfId="722" priority="1516" operator="containsText" text="Pesquisa de Preços">
      <formula>NOT(ISERROR(SEARCH("Pesquisa de Preços",E1615)))</formula>
    </cfRule>
  </conditionalFormatting>
  <conditionalFormatting sqref="E1439 E1452">
    <cfRule type="containsText" dxfId="721" priority="1552" operator="containsText" text="Pesquisa de Preços">
      <formula>NOT(ISERROR(SEARCH("Pesquisa de Preços",E1439)))</formula>
    </cfRule>
  </conditionalFormatting>
  <conditionalFormatting sqref="E1438">
    <cfRule type="containsText" dxfId="720" priority="1551" operator="containsText" text="Pesquisa de Preços">
      <formula>NOT(ISERROR(SEARCH("Pesquisa de Preços",E1438)))</formula>
    </cfRule>
  </conditionalFormatting>
  <conditionalFormatting sqref="E1633 E1637">
    <cfRule type="containsText" dxfId="719" priority="1528" operator="containsText" text="Pesquisa de Preços">
      <formula>NOT(ISERROR(SEARCH("Pesquisa de Preços",E1633)))</formula>
    </cfRule>
  </conditionalFormatting>
  <conditionalFormatting sqref="E1424 E1437">
    <cfRule type="containsText" dxfId="718" priority="1550" operator="containsText" text="Pesquisa de Preços">
      <formula>NOT(ISERROR(SEARCH("Pesquisa de Preços",E1424)))</formula>
    </cfRule>
  </conditionalFormatting>
  <conditionalFormatting sqref="E1469 E1482">
    <cfRule type="containsText" dxfId="717" priority="1548" operator="containsText" text="Pesquisa de Preços">
      <formula>NOT(ISERROR(SEARCH("Pesquisa de Preços",E1469)))</formula>
    </cfRule>
  </conditionalFormatting>
  <conditionalFormatting sqref="E1696 E1699 E1701">
    <cfRule type="containsText" dxfId="716" priority="1530" operator="containsText" text="Pesquisa de Preços">
      <formula>NOT(ISERROR(SEARCH("Pesquisa de Preços",E1696)))</formula>
    </cfRule>
  </conditionalFormatting>
  <conditionalFormatting sqref="E1467">
    <cfRule type="containsText" dxfId="715" priority="1546" operator="containsText" text="Pesquisa de Preços">
      <formula>NOT(ISERROR(SEARCH("Pesquisa de Preços",E1467)))</formula>
    </cfRule>
  </conditionalFormatting>
  <conditionalFormatting sqref="E2287">
    <cfRule type="containsText" dxfId="714" priority="1373" operator="containsText" text="Pesquisa de Preços">
      <formula>NOT(ISERROR(SEARCH("Pesquisa de Preços",E2287)))</formula>
    </cfRule>
  </conditionalFormatting>
  <conditionalFormatting sqref="E1597 E1601">
    <cfRule type="containsText" dxfId="713" priority="1538" operator="containsText" text="Pesquisa de Preços">
      <formula>NOT(ISERROR(SEARCH("Pesquisa de Preços",E1597)))</formula>
    </cfRule>
  </conditionalFormatting>
  <conditionalFormatting sqref="E1582:E1583 E1594:E1595">
    <cfRule type="containsText" dxfId="712" priority="1544" operator="containsText" text="Pesquisa de Preços">
      <formula>NOT(ISERROR(SEARCH("Pesquisa de Preços",E1582)))</formula>
    </cfRule>
  </conditionalFormatting>
  <conditionalFormatting sqref="E2216">
    <cfRule type="containsText" dxfId="711" priority="1389" operator="containsText" text="Pesquisa de Preços">
      <formula>NOT(ISERROR(SEARCH("Pesquisa de Preços",E2216)))</formula>
    </cfRule>
  </conditionalFormatting>
  <conditionalFormatting sqref="E1584:E1593">
    <cfRule type="containsText" dxfId="710" priority="1542" operator="containsText" text="Pesquisa de Preços">
      <formula>NOT(ISERROR(SEARCH("Pesquisa de Preços",E1584)))</formula>
    </cfRule>
  </conditionalFormatting>
  <conditionalFormatting sqref="E1396:E1397 E1399:E1400">
    <cfRule type="containsText" dxfId="709" priority="1541" operator="containsText" text="Pesquisa de Preços">
      <formula>NOT(ISERROR(SEARCH("Pesquisa de Preços",E1396)))</formula>
    </cfRule>
  </conditionalFormatting>
  <conditionalFormatting sqref="E1395">
    <cfRule type="containsText" dxfId="708" priority="1540" operator="containsText" text="Pesquisa de Preços">
      <formula>NOT(ISERROR(SEARCH("Pesquisa de Preços",E1395)))</formula>
    </cfRule>
  </conditionalFormatting>
  <conditionalFormatting sqref="E2235">
    <cfRule type="containsText" dxfId="707" priority="1385" operator="containsText" text="Pesquisa de Preços">
      <formula>NOT(ISERROR(SEARCH("Pesquisa de Preços",E2235)))</formula>
    </cfRule>
  </conditionalFormatting>
  <conditionalFormatting sqref="E1398">
    <cfRule type="containsText" dxfId="706" priority="1539" operator="containsText" text="Pesquisa de Preços">
      <formula>NOT(ISERROR(SEARCH("Pesquisa de Preços",E1398)))</formula>
    </cfRule>
  </conditionalFormatting>
  <conditionalFormatting sqref="E1596">
    <cfRule type="containsText" dxfId="705" priority="1537" operator="containsText" text="Pesquisa de Preços">
      <formula>NOT(ISERROR(SEARCH("Pesquisa de Preços",E1596)))</formula>
    </cfRule>
  </conditionalFormatting>
  <conditionalFormatting sqref="E1639 E1641:E1642">
    <cfRule type="containsText" dxfId="704" priority="1522" operator="containsText" text="Pesquisa de Preços">
      <formula>NOT(ISERROR(SEARCH("Pesquisa de Preços",E1639)))</formula>
    </cfRule>
  </conditionalFormatting>
  <conditionalFormatting sqref="E1603 E1607">
    <cfRule type="containsText" dxfId="703" priority="1536" operator="containsText" text="Pesquisa de Preços">
      <formula>NOT(ISERROR(SEARCH("Pesquisa de Preços",E1603)))</formula>
    </cfRule>
  </conditionalFormatting>
  <conditionalFormatting sqref="E1602">
    <cfRule type="containsText" dxfId="702" priority="1535" operator="containsText" text="Pesquisa de Preços">
      <formula>NOT(ISERROR(SEARCH("Pesquisa de Preços",E1602)))</formula>
    </cfRule>
  </conditionalFormatting>
  <conditionalFormatting sqref="E1649">
    <cfRule type="containsText" dxfId="701" priority="1532" operator="containsText" text="Pesquisa de Preços">
      <formula>NOT(ISERROR(SEARCH("Pesquisa de Preços",E1649)))</formula>
    </cfRule>
  </conditionalFormatting>
  <conditionalFormatting sqref="E1613">
    <cfRule type="containsText" dxfId="700" priority="1534" operator="containsText" text="Pesquisa de Preços">
      <formula>NOT(ISERROR(SEARCH("Pesquisa de Preços",E1613)))</formula>
    </cfRule>
  </conditionalFormatting>
  <conditionalFormatting sqref="E1650:E1651">
    <cfRule type="containsText" dxfId="699" priority="1533" operator="containsText" text="Pesquisa de Preços">
      <formula>NOT(ISERROR(SEARCH("Pesquisa de Preços",E1650)))</formula>
    </cfRule>
  </conditionalFormatting>
  <conditionalFormatting sqref="E2257">
    <cfRule type="containsText" dxfId="698" priority="1381" operator="containsText" text="Pesquisa de Preços">
      <formula>NOT(ISERROR(SEARCH("Pesquisa de Preços",E2257)))</formula>
    </cfRule>
  </conditionalFormatting>
  <conditionalFormatting sqref="E1652:E1653">
    <cfRule type="containsText" dxfId="697" priority="1531" operator="containsText" text="Pesquisa de Preços">
      <formula>NOT(ISERROR(SEARCH("Pesquisa de Preços",E1652)))</formula>
    </cfRule>
  </conditionalFormatting>
  <conditionalFormatting sqref="E1695">
    <cfRule type="containsText" dxfId="696" priority="1529" operator="containsText" text="Pesquisa de Preços">
      <formula>NOT(ISERROR(SEARCH("Pesquisa de Preços",E1695)))</formula>
    </cfRule>
  </conditionalFormatting>
  <conditionalFormatting sqref="E1627 E1631">
    <cfRule type="containsText" dxfId="695" priority="1526" operator="containsText" text="Pesquisa de Preços">
      <formula>NOT(ISERROR(SEARCH("Pesquisa de Preços",E1627)))</formula>
    </cfRule>
  </conditionalFormatting>
  <conditionalFormatting sqref="E1632">
    <cfRule type="containsText" dxfId="694" priority="1527" operator="containsText" text="Pesquisa de Preços">
      <formula>NOT(ISERROR(SEARCH("Pesquisa de Preços",E1632)))</formula>
    </cfRule>
  </conditionalFormatting>
  <conditionalFormatting sqref="E1626">
    <cfRule type="containsText" dxfId="693" priority="1525" operator="containsText" text="Pesquisa de Preços">
      <formula>NOT(ISERROR(SEARCH("Pesquisa de Preços",E1626)))</formula>
    </cfRule>
  </conditionalFormatting>
  <conditionalFormatting sqref="E1622 E1624:E1625">
    <cfRule type="containsText" dxfId="692" priority="1524" operator="containsText" text="Pesquisa de Preços">
      <formula>NOT(ISERROR(SEARCH("Pesquisa de Preços",E1622)))</formula>
    </cfRule>
  </conditionalFormatting>
  <conditionalFormatting sqref="E1644 E1647:E1648">
    <cfRule type="containsText" dxfId="691" priority="1520" operator="containsText" text="Pesquisa de Preços">
      <formula>NOT(ISERROR(SEARCH("Pesquisa de Preços",E1644)))</formula>
    </cfRule>
  </conditionalFormatting>
  <conditionalFormatting sqref="E1748 E1739:E1741">
    <cfRule type="containsText" dxfId="690" priority="1504" operator="containsText" text="Pesquisa de Preços">
      <formula>NOT(ISERROR(SEARCH("Pesquisa de Preços",E1739)))</formula>
    </cfRule>
  </conditionalFormatting>
  <conditionalFormatting sqref="E1689 E1693:E1694">
    <cfRule type="containsText" dxfId="689" priority="1518" operator="containsText" text="Pesquisa de Preços">
      <formula>NOT(ISERROR(SEARCH("Pesquisa de Preços",E1689)))</formula>
    </cfRule>
  </conditionalFormatting>
  <conditionalFormatting sqref="E1688">
    <cfRule type="containsText" dxfId="688" priority="1517" operator="containsText" text="Pesquisa de Preços">
      <formula>NOT(ISERROR(SEARCH("Pesquisa de Preços",E1688)))</formula>
    </cfRule>
  </conditionalFormatting>
  <conditionalFormatting sqref="E2371">
    <cfRule type="containsText" dxfId="687" priority="1350" operator="containsText" text="Pesquisa de Preços">
      <formula>NOT(ISERROR(SEARCH("Pesquisa de Preços",E2371)))</formula>
    </cfRule>
  </conditionalFormatting>
  <conditionalFormatting sqref="E2366">
    <cfRule type="containsText" dxfId="686" priority="1352" operator="containsText" text="Pesquisa de Preços">
      <formula>NOT(ISERROR(SEARCH("Pesquisa de Preços",E2366)))</formula>
    </cfRule>
  </conditionalFormatting>
  <conditionalFormatting sqref="E1683 E1686:E1687">
    <cfRule type="containsText" dxfId="685" priority="1514" operator="containsText" text="Pesquisa de Preços">
      <formula>NOT(ISERROR(SEARCH("Pesquisa de Preços",E1683)))</formula>
    </cfRule>
  </conditionalFormatting>
  <conditionalFormatting sqref="E1682">
    <cfRule type="containsText" dxfId="684" priority="1513" operator="containsText" text="Pesquisa de Preços">
      <formula>NOT(ISERROR(SEARCH("Pesquisa de Preços",E1682)))</formula>
    </cfRule>
  </conditionalFormatting>
  <conditionalFormatting sqref="E1678 E1680:E1681">
    <cfRule type="containsText" dxfId="683" priority="1512" operator="containsText" text="Pesquisa de Preços">
      <formula>NOT(ISERROR(SEARCH("Pesquisa de Preços",E1678)))</formula>
    </cfRule>
  </conditionalFormatting>
  <conditionalFormatting sqref="E1677">
    <cfRule type="containsText" dxfId="682" priority="1511" operator="containsText" text="Pesquisa de Preços">
      <formula>NOT(ISERROR(SEARCH("Pesquisa de Preços",E1677)))</formula>
    </cfRule>
  </conditionalFormatting>
  <conditionalFormatting sqref="E1728:E1729 E1737">
    <cfRule type="containsText" dxfId="681" priority="1498" operator="containsText" text="Pesquisa de Preços">
      <formula>NOT(ISERROR(SEARCH("Pesquisa de Preços",E1728)))</formula>
    </cfRule>
  </conditionalFormatting>
  <conditionalFormatting sqref="E1673">
    <cfRule type="containsText" dxfId="680" priority="1508" operator="containsText" text="Pesquisa de Preços">
      <formula>NOT(ISERROR(SEARCH("Pesquisa de Preços",E1673)))</formula>
    </cfRule>
  </conditionalFormatting>
  <conditionalFormatting sqref="E1668">
    <cfRule type="containsText" dxfId="679" priority="1510" operator="containsText" text="Pesquisa de Preços">
      <formula>NOT(ISERROR(SEARCH("Pesquisa de Preços",E1668)))</formula>
    </cfRule>
  </conditionalFormatting>
  <conditionalFormatting sqref="E1667">
    <cfRule type="containsText" dxfId="678" priority="1509" operator="containsText" text="Pesquisa de Preços">
      <formula>NOT(ISERROR(SEARCH("Pesquisa de Preços",E1667)))</formula>
    </cfRule>
  </conditionalFormatting>
  <conditionalFormatting sqref="E2343">
    <cfRule type="containsText" dxfId="677" priority="1360" operator="containsText" text="Pesquisa de Preços">
      <formula>NOT(ISERROR(SEARCH("Pesquisa de Preços",E2343)))</formula>
    </cfRule>
  </conditionalFormatting>
  <conditionalFormatting sqref="E2355">
    <cfRule type="containsText" dxfId="676" priority="1358" operator="containsText" text="Pesquisa de Preços">
      <formula>NOT(ISERROR(SEARCH("Pesquisa de Preços",E2355)))</formula>
    </cfRule>
  </conditionalFormatting>
  <conditionalFormatting sqref="E1662 E1665:E1666">
    <cfRule type="containsText" dxfId="675" priority="1506" operator="containsText" text="Pesquisa de Preços">
      <formula>NOT(ISERROR(SEARCH("Pesquisa de Preços",E1662)))</formula>
    </cfRule>
  </conditionalFormatting>
  <conditionalFormatting sqref="E1750 E1759">
    <cfRule type="containsText" dxfId="674" priority="1502" operator="containsText" text="Pesquisa de Preços">
      <formula>NOT(ISERROR(SEARCH("Pesquisa de Preços",E1750)))</formula>
    </cfRule>
  </conditionalFormatting>
  <conditionalFormatting sqref="E1717:E1718 E1726">
    <cfRule type="containsText" dxfId="673" priority="1500" operator="containsText" text="Pesquisa de Preços">
      <formula>NOT(ISERROR(SEARCH("Pesquisa de Preços",E1717)))</formula>
    </cfRule>
  </conditionalFormatting>
  <conditionalFormatting sqref="E897">
    <cfRule type="containsText" dxfId="672" priority="1348" operator="containsText" text="Pesquisa de Preços">
      <formula>NOT(ISERROR(SEARCH("Pesquisa de Preços",E897)))</formula>
    </cfRule>
  </conditionalFormatting>
  <conditionalFormatting sqref="E878">
    <cfRule type="containsText" dxfId="671" priority="1346" operator="containsText" text="Pesquisa de Preços">
      <formula>NOT(ISERROR(SEARCH("Pesquisa de Preços",E878)))</formula>
    </cfRule>
  </conditionalFormatting>
  <conditionalFormatting sqref="E1703:E1704 E1706:E1707">
    <cfRule type="containsText" dxfId="670" priority="1496" operator="containsText" text="Pesquisa de Preços">
      <formula>NOT(ISERROR(SEARCH("Pesquisa de Preços",E1703)))</formula>
    </cfRule>
  </conditionalFormatting>
  <conditionalFormatting sqref="E885">
    <cfRule type="containsText" dxfId="669" priority="1343" operator="containsText" text="Pesquisa de Preços">
      <formula>NOT(ISERROR(SEARCH("Pesquisa de Preços",E885)))</formula>
    </cfRule>
  </conditionalFormatting>
  <conditionalFormatting sqref="E1709">
    <cfRule type="containsText" dxfId="668" priority="1494" operator="containsText" text="Pesquisa de Preços">
      <formula>NOT(ISERROR(SEARCH("Pesquisa de Preços",E1709)))</formula>
    </cfRule>
  </conditionalFormatting>
  <conditionalFormatting sqref="E857">
    <cfRule type="containsText" dxfId="667" priority="1340" operator="containsText" text="Pesquisa de Preços">
      <formula>NOT(ISERROR(SEARCH("Pesquisa de Preços",E857)))</formula>
    </cfRule>
  </conditionalFormatting>
  <conditionalFormatting sqref="E1712:E1713">
    <cfRule type="containsText" dxfId="666" priority="1492" operator="containsText" text="Pesquisa de Preços">
      <formula>NOT(ISERROR(SEARCH("Pesquisa de Preços",E1712)))</formula>
    </cfRule>
  </conditionalFormatting>
  <conditionalFormatting sqref="E1822">
    <cfRule type="containsText" dxfId="665" priority="1491" operator="containsText" text="Pesquisa de Preços">
      <formula>NOT(ISERROR(SEARCH("Pesquisa de Preços",E1822)))</formula>
    </cfRule>
  </conditionalFormatting>
  <conditionalFormatting sqref="E1821">
    <cfRule type="containsText" dxfId="664" priority="1490" operator="containsText" text="Pesquisa de Preços">
      <formula>NOT(ISERROR(SEARCH("Pesquisa de Preços",E1821)))</formula>
    </cfRule>
  </conditionalFormatting>
  <conditionalFormatting sqref="E1848">
    <cfRule type="containsText" dxfId="663" priority="1481" operator="containsText" text="Pesquisa de Preços">
      <formula>NOT(ISERROR(SEARCH("Pesquisa de Preços",E1848)))</formula>
    </cfRule>
  </conditionalFormatting>
  <conditionalFormatting sqref="E1817">
    <cfRule type="containsText" dxfId="662" priority="1489" operator="containsText" text="Pesquisa de Preços">
      <formula>NOT(ISERROR(SEARCH("Pesquisa de Preços",E1817)))</formula>
    </cfRule>
  </conditionalFormatting>
  <conditionalFormatting sqref="E1816">
    <cfRule type="containsText" dxfId="661" priority="1488" operator="containsText" text="Pesquisa de Preços">
      <formula>NOT(ISERROR(SEARCH("Pesquisa de Preços",E1816)))</formula>
    </cfRule>
  </conditionalFormatting>
  <conditionalFormatting sqref="E1827 E1830:E1831">
    <cfRule type="containsText" dxfId="660" priority="1487" operator="containsText" text="Pesquisa de Preços">
      <formula>NOT(ISERROR(SEARCH("Pesquisa de Preços",E1827)))</formula>
    </cfRule>
  </conditionalFormatting>
  <conditionalFormatting sqref="E1826">
    <cfRule type="containsText" dxfId="659" priority="1486" operator="containsText" text="Pesquisa de Preços">
      <formula>NOT(ISERROR(SEARCH("Pesquisa de Preços",E1826)))</formula>
    </cfRule>
  </conditionalFormatting>
  <conditionalFormatting sqref="E1829">
    <cfRule type="containsText" dxfId="658" priority="1485" operator="containsText" text="Pesquisa de Preços">
      <formula>NOT(ISERROR(SEARCH("Pesquisa de Preços",E1829)))</formula>
    </cfRule>
  </conditionalFormatting>
  <conditionalFormatting sqref="E1837">
    <cfRule type="containsText" dxfId="657" priority="1484" operator="containsText" text="Pesquisa de Preços">
      <formula>NOT(ISERROR(SEARCH("Pesquisa de Preços",E1837)))</formula>
    </cfRule>
  </conditionalFormatting>
  <conditionalFormatting sqref="E1846:E1847 E1849:E1850">
    <cfRule type="containsText" dxfId="656" priority="1483" operator="containsText" text="Pesquisa de Preços">
      <formula>NOT(ISERROR(SEARCH("Pesquisa de Preços",E1846)))</formula>
    </cfRule>
  </conditionalFormatting>
  <conditionalFormatting sqref="E1852:E1853 E1855:E1856">
    <cfRule type="containsText" dxfId="655" priority="1480" operator="containsText" text="Pesquisa de Preços">
      <formula>NOT(ISERROR(SEARCH("Pesquisa de Preços",E1852)))</formula>
    </cfRule>
  </conditionalFormatting>
  <conditionalFormatting sqref="E1860">
    <cfRule type="containsText" dxfId="654" priority="1473" operator="containsText" text="Pesquisa de Preços">
      <formula>NOT(ISERROR(SEARCH("Pesquisa de Preços",E1860)))</formula>
    </cfRule>
  </conditionalFormatting>
  <conditionalFormatting sqref="E1854">
    <cfRule type="containsText" dxfId="653" priority="1478" operator="containsText" text="Pesquisa de Preços">
      <formula>NOT(ISERROR(SEARCH("Pesquisa de Preços",E1854)))</formula>
    </cfRule>
  </conditionalFormatting>
  <conditionalFormatting sqref="E1839:E1840 E1844">
    <cfRule type="containsText" dxfId="652" priority="1477" operator="containsText" text="Pesquisa de Preços">
      <formula>NOT(ISERROR(SEARCH("Pesquisa de Preços",E1839)))</formula>
    </cfRule>
  </conditionalFormatting>
  <conditionalFormatting sqref="E1858:E1859 E1861:E1862">
    <cfRule type="containsText" dxfId="651" priority="1475" operator="containsText" text="Pesquisa de Preços">
      <formula>NOT(ISERROR(SEARCH("Pesquisa de Preços",E1858)))</formula>
    </cfRule>
  </conditionalFormatting>
  <conditionalFormatting sqref="E2376">
    <cfRule type="containsText" dxfId="650" priority="1321" operator="containsText" text="Pesquisa de Preços">
      <formula>NOT(ISERROR(SEARCH("Pesquisa de Preços",E2376)))</formula>
    </cfRule>
  </conditionalFormatting>
  <conditionalFormatting sqref="E1868">
    <cfRule type="containsText" dxfId="649" priority="1472" operator="containsText" text="Pesquisa de Preços">
      <formula>NOT(ISERROR(SEARCH("Pesquisa de Preços",E1868)))</formula>
    </cfRule>
  </conditionalFormatting>
  <conditionalFormatting sqref="E2403">
    <cfRule type="containsText" dxfId="648" priority="1318" operator="containsText" text="Pesquisa de Preços">
      <formula>NOT(ISERROR(SEARCH("Pesquisa de Preços",E2403)))</formula>
    </cfRule>
  </conditionalFormatting>
  <conditionalFormatting sqref="E1904">
    <cfRule type="containsText" dxfId="647" priority="1471" operator="containsText" text="Pesquisa de Preços">
      <formula>NOT(ISERROR(SEARCH("Pesquisa de Preços",E1904)))</formula>
    </cfRule>
  </conditionalFormatting>
  <conditionalFormatting sqref="E2397">
    <cfRule type="containsText" dxfId="646" priority="1316" operator="containsText" text="Pesquisa de Preços">
      <formula>NOT(ISERROR(SEARCH("Pesquisa de Preços",E2397)))</formula>
    </cfRule>
  </conditionalFormatting>
  <conditionalFormatting sqref="E1880">
    <cfRule type="containsText" dxfId="645" priority="1470" operator="containsText" text="Pesquisa de Preços">
      <formula>NOT(ISERROR(SEARCH("Pesquisa de Preços",E1880)))</formula>
    </cfRule>
  </conditionalFormatting>
  <conditionalFormatting sqref="E1898">
    <cfRule type="containsText" dxfId="644" priority="1469" operator="containsText" text="Pesquisa de Preços">
      <formula>NOT(ISERROR(SEARCH("Pesquisa de Preços",E1898)))</formula>
    </cfRule>
  </conditionalFormatting>
  <conditionalFormatting sqref="E1874">
    <cfRule type="containsText" dxfId="643" priority="1468" operator="containsText" text="Pesquisa de Preços">
      <formula>NOT(ISERROR(SEARCH("Pesquisa de Preços",E1874)))</formula>
    </cfRule>
  </conditionalFormatting>
  <conditionalFormatting sqref="E1886">
    <cfRule type="containsText" dxfId="642" priority="1467" operator="containsText" text="Pesquisa de Preços">
      <formula>NOT(ISERROR(SEARCH("Pesquisa de Preços",E1886)))</formula>
    </cfRule>
  </conditionalFormatting>
  <conditionalFormatting sqref="E1908">
    <cfRule type="containsText" dxfId="641" priority="1463" operator="containsText" text="Pesquisa de Preços">
      <formula>NOT(ISERROR(SEARCH("Pesquisa de Preços",E1908)))</formula>
    </cfRule>
  </conditionalFormatting>
  <conditionalFormatting sqref="E1892">
    <cfRule type="containsText" dxfId="640" priority="1466" operator="containsText" text="Pesquisa de Preços">
      <formula>NOT(ISERROR(SEARCH("Pesquisa de Preços",E1892)))</formula>
    </cfRule>
  </conditionalFormatting>
  <conditionalFormatting sqref="E1933 E1936:E1937">
    <cfRule type="containsText" dxfId="639" priority="1455" operator="containsText" text="Pesquisa de Preços">
      <formula>NOT(ISERROR(SEARCH("Pesquisa de Preços",E1933)))</formula>
    </cfRule>
  </conditionalFormatting>
  <conditionalFormatting sqref="E1906:E1907 E1909:E1910">
    <cfRule type="containsText" dxfId="638" priority="1465" operator="containsText" text="Pesquisa de Preços">
      <formula>NOT(ISERROR(SEARCH("Pesquisa de Preços",E1906)))</formula>
    </cfRule>
  </conditionalFormatting>
  <conditionalFormatting sqref="E1914">
    <cfRule type="containsText" dxfId="637" priority="1460" operator="containsText" text="Pesquisa de Preços">
      <formula>NOT(ISERROR(SEARCH("Pesquisa de Preços",E1914)))</formula>
    </cfRule>
  </conditionalFormatting>
  <conditionalFormatting sqref="E1912:E1913 E1915:E1916">
    <cfRule type="containsText" dxfId="636" priority="1462" operator="containsText" text="Pesquisa de Preços">
      <formula>NOT(ISERROR(SEARCH("Pesquisa de Preços",E1912)))</formula>
    </cfRule>
  </conditionalFormatting>
  <conditionalFormatting sqref="E1928:E1929 E1931">
    <cfRule type="containsText" dxfId="635" priority="1459" operator="containsText" text="Pesquisa de Preços">
      <formula>NOT(ISERROR(SEARCH("Pesquisa de Preços",E1928)))</formula>
    </cfRule>
  </conditionalFormatting>
  <conditionalFormatting sqref="E1923">
    <cfRule type="containsText" dxfId="634" priority="1457" operator="containsText" text="Pesquisa de Preços">
      <formula>NOT(ISERROR(SEARCH("Pesquisa de Preços",E1923)))</formula>
    </cfRule>
  </conditionalFormatting>
  <conditionalFormatting sqref="E1954:E1955 E1957:E1958">
    <cfRule type="containsText" dxfId="633" priority="1453" operator="containsText" text="Pesquisa de Preços">
      <formula>NOT(ISERROR(SEARCH("Pesquisa de Preços",E1954)))</formula>
    </cfRule>
  </conditionalFormatting>
  <conditionalFormatting sqref="E1956">
    <cfRule type="containsText" dxfId="632" priority="1451" operator="containsText" text="Pesquisa de Preços">
      <formula>NOT(ISERROR(SEARCH("Pesquisa de Preços",E1956)))</formula>
    </cfRule>
  </conditionalFormatting>
  <conditionalFormatting sqref="E1963:E1964">
    <cfRule type="containsText" dxfId="631" priority="1450" operator="containsText" text="Pesquisa de Preços">
      <formula>NOT(ISERROR(SEARCH("Pesquisa de Preços",E1963)))</formula>
    </cfRule>
  </conditionalFormatting>
  <conditionalFormatting sqref="E1973:E1974 E1977:E1978">
    <cfRule type="containsText" dxfId="630" priority="1444" operator="containsText" text="Pesquisa de Preços">
      <formula>NOT(ISERROR(SEARCH("Pesquisa de Preços",E1973)))</formula>
    </cfRule>
  </conditionalFormatting>
  <conditionalFormatting sqref="E1975:E1976">
    <cfRule type="containsText" dxfId="629" priority="1442" operator="containsText" text="Pesquisa de Preços">
      <formula>NOT(ISERROR(SEARCH("Pesquisa de Preços",E1975)))</formula>
    </cfRule>
  </conditionalFormatting>
  <conditionalFormatting sqref="E1988:E1989 E1993:E1994">
    <cfRule type="containsText" dxfId="628" priority="1449" operator="containsText" text="Pesquisa de Preços">
      <formula>NOT(ISERROR(SEARCH("Pesquisa de Preços",E1988)))</formula>
    </cfRule>
  </conditionalFormatting>
  <conditionalFormatting sqref="E1987">
    <cfRule type="containsText" dxfId="627" priority="1448" operator="containsText" text="Pesquisa de Preços">
      <formula>NOT(ISERROR(SEARCH("Pesquisa de Preços",E1987)))</formula>
    </cfRule>
  </conditionalFormatting>
  <conditionalFormatting sqref="E1990:E1991">
    <cfRule type="containsText" dxfId="626" priority="1447" operator="containsText" text="Pesquisa de Preços">
      <formula>NOT(ISERROR(SEARCH("Pesquisa de Preços",E1990)))</formula>
    </cfRule>
  </conditionalFormatting>
  <conditionalFormatting sqref="E1980 E1986">
    <cfRule type="containsText" dxfId="625" priority="1446" operator="containsText" text="Pesquisa de Preços">
      <formula>NOT(ISERROR(SEARCH("Pesquisa de Preços",E1980)))</formula>
    </cfRule>
  </conditionalFormatting>
  <conditionalFormatting sqref="E1965">
    <cfRule type="containsText" dxfId="624" priority="1440" operator="containsText" text="Pesquisa de Preços">
      <formula>NOT(ISERROR(SEARCH("Pesquisa de Preços",E1965)))</formula>
    </cfRule>
  </conditionalFormatting>
  <conditionalFormatting sqref="E1966:E1967 E1970:E1971">
    <cfRule type="containsText" dxfId="623" priority="1441" operator="containsText" text="Pesquisa de Preços">
      <formula>NOT(ISERROR(SEARCH("Pesquisa de Preços",E1966)))</formula>
    </cfRule>
  </conditionalFormatting>
  <conditionalFormatting sqref="E1968:E1969">
    <cfRule type="containsText" dxfId="622" priority="1439" operator="containsText" text="Pesquisa de Preços">
      <formula>NOT(ISERROR(SEARCH("Pesquisa de Preços",E1968)))</formula>
    </cfRule>
  </conditionalFormatting>
  <conditionalFormatting sqref="E2017 E2022">
    <cfRule type="containsText" dxfId="621" priority="1438" operator="containsText" text="Pesquisa de Preços">
      <formula>NOT(ISERROR(SEARCH("Pesquisa de Preços",E2017)))</formula>
    </cfRule>
  </conditionalFormatting>
  <conditionalFormatting sqref="E2012:E2013">
    <cfRule type="containsText" dxfId="620" priority="1434" operator="containsText" text="Pesquisa de Preços">
      <formula>NOT(ISERROR(SEARCH("Pesquisa de Preços",E2012)))</formula>
    </cfRule>
  </conditionalFormatting>
  <conditionalFormatting sqref="E2014:E2015 E2010:E2011">
    <cfRule type="containsText" dxfId="619" priority="1436" operator="containsText" text="Pesquisa de Preços">
      <formula>NOT(ISERROR(SEARCH("Pesquisa de Preços",E2010)))</formula>
    </cfRule>
  </conditionalFormatting>
  <conditionalFormatting sqref="E2005:E2006">
    <cfRule type="containsText" dxfId="618" priority="1431" operator="containsText" text="Pesquisa de Preços">
      <formula>NOT(ISERROR(SEARCH("Pesquisa de Preços",E2005)))</formula>
    </cfRule>
  </conditionalFormatting>
  <conditionalFormatting sqref="E2007:E2008 E2003:E2004">
    <cfRule type="containsText" dxfId="617" priority="1433" operator="containsText" text="Pesquisa de Preços">
      <formula>NOT(ISERROR(SEARCH("Pesquisa de Preços",E2003)))</formula>
    </cfRule>
  </conditionalFormatting>
  <conditionalFormatting sqref="E1996 E2001">
    <cfRule type="containsText" dxfId="616" priority="1430" operator="containsText" text="Pesquisa de Preços">
      <formula>NOT(ISERROR(SEARCH("Pesquisa de Preços",E1996)))</formula>
    </cfRule>
  </conditionalFormatting>
  <conditionalFormatting sqref="E2141">
    <cfRule type="containsText" dxfId="615" priority="1427" operator="containsText" text="Pesquisa de Preços">
      <formula>NOT(ISERROR(SEARCH("Pesquisa de Preços",E2141)))</formula>
    </cfRule>
  </conditionalFormatting>
  <conditionalFormatting sqref="E2142:E2143">
    <cfRule type="containsText" dxfId="614" priority="1428" operator="containsText" text="Pesquisa de Preços">
      <formula>NOT(ISERROR(SEARCH("Pesquisa de Preços",E2142)))</formula>
    </cfRule>
  </conditionalFormatting>
  <conditionalFormatting sqref="E2144:E2145">
    <cfRule type="containsText" dxfId="613" priority="1426" operator="containsText" text="Pesquisa de Preços">
      <formula>NOT(ISERROR(SEARCH("Pesquisa de Preços",E2144)))</formula>
    </cfRule>
  </conditionalFormatting>
  <conditionalFormatting sqref="E2130:E2131">
    <cfRule type="containsText" dxfId="612" priority="1425" operator="containsText" text="Pesquisa de Preços">
      <formula>NOT(ISERROR(SEARCH("Pesquisa de Preços",E2130)))</formula>
    </cfRule>
  </conditionalFormatting>
  <conditionalFormatting sqref="E2129">
    <cfRule type="containsText" dxfId="611" priority="1424" operator="containsText" text="Pesquisa de Preços">
      <formula>NOT(ISERROR(SEARCH("Pesquisa de Preços",E2129)))</formula>
    </cfRule>
  </conditionalFormatting>
  <conditionalFormatting sqref="E2156 E2160:E2162">
    <cfRule type="containsText" dxfId="610" priority="1422" operator="containsText" text="Pesquisa de Preços">
      <formula>NOT(ISERROR(SEARCH("Pesquisa de Preços",E2156)))</formula>
    </cfRule>
  </conditionalFormatting>
  <conditionalFormatting sqref="E2155">
    <cfRule type="containsText" dxfId="609" priority="1421" operator="containsText" text="Pesquisa de Preços">
      <formula>NOT(ISERROR(SEARCH("Pesquisa de Preços",E2155)))</formula>
    </cfRule>
  </conditionalFormatting>
  <conditionalFormatting sqref="E2159">
    <cfRule type="containsText" dxfId="608" priority="1420" operator="containsText" text="Pesquisa de Preços">
      <formula>NOT(ISERROR(SEARCH("Pesquisa de Preços",E2159)))</formula>
    </cfRule>
  </conditionalFormatting>
  <conditionalFormatting sqref="E2172 E2176:E2178">
    <cfRule type="containsText" dxfId="607" priority="1419" operator="containsText" text="Pesquisa de Preços">
      <formula>NOT(ISERROR(SEARCH("Pesquisa de Preços",E2172)))</formula>
    </cfRule>
  </conditionalFormatting>
  <conditionalFormatting sqref="E2152:E2154">
    <cfRule type="containsText" dxfId="606" priority="1417" operator="containsText" text="Pesquisa de Preços">
      <formula>NOT(ISERROR(SEARCH("Pesquisa de Preços",E2152)))</formula>
    </cfRule>
  </conditionalFormatting>
  <conditionalFormatting sqref="E2184:E2186">
    <cfRule type="containsText" dxfId="605" priority="1416" operator="containsText" text="Pesquisa de Preços">
      <formula>NOT(ISERROR(SEARCH("Pesquisa de Preços",E2184)))</formula>
    </cfRule>
  </conditionalFormatting>
  <conditionalFormatting sqref="E2062 E2066:E2068">
    <cfRule type="containsText" dxfId="604" priority="1411" operator="containsText" text="Pesquisa de Preços">
      <formula>NOT(ISERROR(SEARCH("Pesquisa de Preços",E2062)))</formula>
    </cfRule>
  </conditionalFormatting>
  <conditionalFormatting sqref="E2168:E2170">
    <cfRule type="containsText" dxfId="603" priority="1415" operator="containsText" text="Pesquisa de Preços">
      <formula>NOT(ISERROR(SEARCH("Pesquisa de Preços",E2168)))</formula>
    </cfRule>
  </conditionalFormatting>
  <conditionalFormatting sqref="E2061">
    <cfRule type="containsText" dxfId="602" priority="1410" operator="containsText" text="Pesquisa de Preços">
      <formula>NOT(ISERROR(SEARCH("Pesquisa de Preços",E2061)))</formula>
    </cfRule>
  </conditionalFormatting>
  <conditionalFormatting sqref="E2192:E2194">
    <cfRule type="containsText" dxfId="601" priority="1414" operator="containsText" text="Pesquisa de Preços">
      <formula>NOT(ISERROR(SEARCH("Pesquisa de Preços",E2192)))</formula>
    </cfRule>
  </conditionalFormatting>
  <conditionalFormatting sqref="E2244:E2247 E2249">
    <cfRule type="containsText" dxfId="600" priority="1370" operator="containsText" text="Pesquisa de Preços">
      <formula>NOT(ISERROR(SEARCH("Pesquisa de Preços",E2244)))</formula>
    </cfRule>
  </conditionalFormatting>
  <conditionalFormatting sqref="E2046 E2050:E2052">
    <cfRule type="containsText" dxfId="599" priority="1413" operator="containsText" text="Pesquisa de Preços">
      <formula>NOT(ISERROR(SEARCH("Pesquisa de Preços",E2046)))</formula>
    </cfRule>
  </conditionalFormatting>
  <conditionalFormatting sqref="E2054 E2058:E2060">
    <cfRule type="containsText" dxfId="598" priority="1405" operator="containsText" text="Pesquisa de Preços">
      <formula>NOT(ISERROR(SEARCH("Pesquisa de Preços",E2054)))</formula>
    </cfRule>
  </conditionalFormatting>
  <conditionalFormatting sqref="E2350:E2351 E2354">
    <cfRule type="containsText" dxfId="597" priority="1363" operator="containsText" text="Pesquisa de Preços">
      <formula>NOT(ISERROR(SEARCH("Pesquisa de Preços",E2350)))</formula>
    </cfRule>
  </conditionalFormatting>
  <conditionalFormatting sqref="E2038 E2042:E2044">
    <cfRule type="containsText" dxfId="596" priority="1409" operator="containsText" text="Pesquisa de Preços">
      <formula>NOT(ISERROR(SEARCH("Pesquisa de Preços",E2038)))</formula>
    </cfRule>
  </conditionalFormatting>
  <conditionalFormatting sqref="E2037">
    <cfRule type="containsText" dxfId="595" priority="1408" operator="containsText" text="Pesquisa de Preços">
      <formula>NOT(ISERROR(SEARCH("Pesquisa de Preços",E2037)))</formula>
    </cfRule>
  </conditionalFormatting>
  <conditionalFormatting sqref="E2070 E2074:E2076">
    <cfRule type="containsText" dxfId="594" priority="1407" operator="containsText" text="Pesquisa de Preços">
      <formula>NOT(ISERROR(SEARCH("Pesquisa de Preços",E2070)))</formula>
    </cfRule>
  </conditionalFormatting>
  <conditionalFormatting sqref="E2069">
    <cfRule type="containsText" dxfId="593" priority="1406" operator="containsText" text="Pesquisa de Preços">
      <formula>NOT(ISERROR(SEARCH("Pesquisa de Preços",E2069)))</formula>
    </cfRule>
  </conditionalFormatting>
  <conditionalFormatting sqref="E2331:E2332">
    <cfRule type="containsText" dxfId="592" priority="1369" operator="containsText" text="Pesquisa de Preços">
      <formula>NOT(ISERROR(SEARCH("Pesquisa de Preços",E2331)))</formula>
    </cfRule>
  </conditionalFormatting>
  <conditionalFormatting sqref="E2053">
    <cfRule type="containsText" dxfId="591" priority="1404" operator="containsText" text="Pesquisa de Preços">
      <formula>NOT(ISERROR(SEARCH("Pesquisa de Preços",E2053)))</formula>
    </cfRule>
  </conditionalFormatting>
  <conditionalFormatting sqref="E2311">
    <cfRule type="containsText" dxfId="590" priority="1378" operator="containsText" text="Pesquisa de Preços">
      <formula>NOT(ISERROR(SEARCH("Pesquisa de Preços",E2311)))</formula>
    </cfRule>
  </conditionalFormatting>
  <conditionalFormatting sqref="E2078 E2082:E2084">
    <cfRule type="containsText" dxfId="589" priority="1403" operator="containsText" text="Pesquisa de Preços">
      <formula>NOT(ISERROR(SEARCH("Pesquisa de Preços",E2078)))</formula>
    </cfRule>
  </conditionalFormatting>
  <conditionalFormatting sqref="E2077">
    <cfRule type="containsText" dxfId="588" priority="1402" operator="containsText" text="Pesquisa de Preços">
      <formula>NOT(ISERROR(SEARCH("Pesquisa de Preços",E2077)))</formula>
    </cfRule>
  </conditionalFormatting>
  <conditionalFormatting sqref="E2258">
    <cfRule type="containsText" dxfId="587" priority="1382" operator="containsText" text="Pesquisa de Preços">
      <formula>NOT(ISERROR(SEARCH("Pesquisa de Preços",E2258)))</formula>
    </cfRule>
  </conditionalFormatting>
  <conditionalFormatting sqref="E2036">
    <cfRule type="containsText" dxfId="586" priority="1401" operator="containsText" text="Pesquisa de Preços">
      <formula>NOT(ISERROR(SEARCH("Pesquisa de Preços",E2036)))</formula>
    </cfRule>
  </conditionalFormatting>
  <conditionalFormatting sqref="E2114:E2116">
    <cfRule type="containsText" dxfId="585" priority="1400" operator="containsText" text="Pesquisa de Preços">
      <formula>NOT(ISERROR(SEARCH("Pesquisa de Preços",E2114)))</formula>
    </cfRule>
  </conditionalFormatting>
  <conditionalFormatting sqref="E2229">
    <cfRule type="containsText" dxfId="584" priority="1383" operator="containsText" text="Pesquisa de Preços">
      <formula>NOT(ISERROR(SEARCH("Pesquisa de Preços",E2229)))</formula>
    </cfRule>
  </conditionalFormatting>
  <conditionalFormatting sqref="E2106:E2108">
    <cfRule type="containsText" dxfId="583" priority="1399" operator="containsText" text="Pesquisa de Preços">
      <formula>NOT(ISERROR(SEARCH("Pesquisa de Preços",E2106)))</formula>
    </cfRule>
  </conditionalFormatting>
  <conditionalFormatting sqref="E2221">
    <cfRule type="containsText" dxfId="582" priority="1388" operator="containsText" text="Pesquisa de Preços">
      <formula>NOT(ISERROR(SEARCH("Pesquisa de Preços",E2221)))</formula>
    </cfRule>
  </conditionalFormatting>
  <conditionalFormatting sqref="E2223">
    <cfRule type="containsText" dxfId="581" priority="1387" operator="containsText" text="Pesquisa de Preços">
      <formula>NOT(ISERROR(SEARCH("Pesquisa de Preços",E2223)))</formula>
    </cfRule>
  </conditionalFormatting>
  <conditionalFormatting sqref="E2100">
    <cfRule type="containsText" dxfId="580" priority="1398" operator="containsText" text="Pesquisa de Preços">
      <formula>NOT(ISERROR(SEARCH("Pesquisa de Preços",E2100)))</formula>
    </cfRule>
  </conditionalFormatting>
  <conditionalFormatting sqref="E2026">
    <cfRule type="containsText" dxfId="579" priority="1395" operator="containsText" text="Pesquisa de Preços">
      <formula>NOT(ISERROR(SEARCH("Pesquisa de Preços",E2026)))</formula>
    </cfRule>
  </conditionalFormatting>
  <conditionalFormatting sqref="E2024:E2025 E2027:E2028">
    <cfRule type="containsText" dxfId="578" priority="1397" operator="containsText" text="Pesquisa de Preços">
      <formula>NOT(ISERROR(SEARCH("Pesquisa de Preços",E2024)))</formula>
    </cfRule>
  </conditionalFormatting>
  <conditionalFormatting sqref="E2023">
    <cfRule type="containsText" dxfId="577" priority="1396" operator="containsText" text="Pesquisa de Preços">
      <formula>NOT(ISERROR(SEARCH("Pesquisa de Preços",E2023)))</formula>
    </cfRule>
  </conditionalFormatting>
  <conditionalFormatting sqref="E2118">
    <cfRule type="containsText" dxfId="576" priority="1394" operator="containsText" text="Pesquisa de Preços">
      <formula>NOT(ISERROR(SEARCH("Pesquisa de Preços",E2118)))</formula>
    </cfRule>
  </conditionalFormatting>
  <conditionalFormatting sqref="E2117">
    <cfRule type="containsText" dxfId="575" priority="1393" operator="containsText" text="Pesquisa de Preços">
      <formula>NOT(ISERROR(SEARCH("Pesquisa de Preços",E2117)))</formula>
    </cfRule>
  </conditionalFormatting>
  <conditionalFormatting sqref="E2212:E2213">
    <cfRule type="containsText" dxfId="574" priority="1392" operator="containsText" text="Pesquisa de Preços">
      <formula>NOT(ISERROR(SEARCH("Pesquisa de Preços",E2212)))</formula>
    </cfRule>
  </conditionalFormatting>
  <conditionalFormatting sqref="E2211">
    <cfRule type="containsText" dxfId="573" priority="1391" operator="containsText" text="Pesquisa de Preços">
      <formula>NOT(ISERROR(SEARCH("Pesquisa de Preços",E2211)))</formula>
    </cfRule>
  </conditionalFormatting>
  <conditionalFormatting sqref="E2217:E2218 E2220">
    <cfRule type="containsText" dxfId="572" priority="1390" operator="containsText" text="Pesquisa de Preços">
      <formula>NOT(ISERROR(SEARCH("Pesquisa de Preços",E2217)))</formula>
    </cfRule>
  </conditionalFormatting>
  <conditionalFormatting sqref="E2236 E2239:E2240">
    <cfRule type="containsText" dxfId="571" priority="1386" operator="containsText" text="Pesquisa de Preços">
      <formula>NOT(ISERROR(SEARCH("Pesquisa de Preços",E2236)))</formula>
    </cfRule>
  </conditionalFormatting>
  <conditionalFormatting sqref="E2230 E2233:E2234">
    <cfRule type="containsText" dxfId="570" priority="1384" operator="containsText" text="Pesquisa de Preços">
      <formula>NOT(ISERROR(SEARCH("Pesquisa de Preços",E2230)))</formula>
    </cfRule>
  </conditionalFormatting>
  <conditionalFormatting sqref="E2312">
    <cfRule type="containsText" dxfId="569" priority="1379" operator="containsText" text="Pesquisa de Preços">
      <formula>NOT(ISERROR(SEARCH("Pesquisa de Preços",E2312)))</formula>
    </cfRule>
  </conditionalFormatting>
  <conditionalFormatting sqref="E2261">
    <cfRule type="containsText" dxfId="568" priority="1380" operator="containsText" text="Pesquisa de Preços">
      <formula>NOT(ISERROR(SEARCH("Pesquisa de Preços",E2261)))</formula>
    </cfRule>
  </conditionalFormatting>
  <conditionalFormatting sqref="E2299">
    <cfRule type="containsText" dxfId="567" priority="1376" operator="containsText" text="Pesquisa de Preços">
      <formula>NOT(ISERROR(SEARCH("Pesquisa de Preços",E2299)))</formula>
    </cfRule>
  </conditionalFormatting>
  <conditionalFormatting sqref="E2300">
    <cfRule type="containsText" dxfId="566" priority="1377" operator="containsText" text="Pesquisa de Preços">
      <formula>NOT(ISERROR(SEARCH("Pesquisa de Preços",E2300)))</formula>
    </cfRule>
  </conditionalFormatting>
  <conditionalFormatting sqref="E2288 E2298">
    <cfRule type="containsText" dxfId="565" priority="1374" operator="containsText" text="Pesquisa de Preços">
      <formula>NOT(ISERROR(SEARCH("Pesquisa de Preços",E2288)))</formula>
    </cfRule>
  </conditionalFormatting>
  <conditionalFormatting sqref="E2241">
    <cfRule type="containsText" dxfId="564" priority="1371" operator="containsText" text="Pesquisa de Preços">
      <formula>NOT(ISERROR(SEARCH("Pesquisa de Preços",E2241)))</formula>
    </cfRule>
  </conditionalFormatting>
  <conditionalFormatting sqref="E2242:E2243">
    <cfRule type="containsText" dxfId="563" priority="1372" operator="containsText" text="Pesquisa de Preços">
      <formula>NOT(ISERROR(SEARCH("Pesquisa de Preços",E2242)))</formula>
    </cfRule>
  </conditionalFormatting>
  <conditionalFormatting sqref="E2330">
    <cfRule type="containsText" dxfId="562" priority="1368" operator="containsText" text="Pesquisa de Preços">
      <formula>NOT(ISERROR(SEARCH("Pesquisa de Preços",E2330)))</formula>
    </cfRule>
  </conditionalFormatting>
  <conditionalFormatting sqref="E2335">
    <cfRule type="containsText" dxfId="561" priority="1367" operator="containsText" text="Pesquisa de Preços">
      <formula>NOT(ISERROR(SEARCH("Pesquisa de Preços",E2335)))</formula>
    </cfRule>
  </conditionalFormatting>
  <conditionalFormatting sqref="E2329">
    <cfRule type="containsText" dxfId="560" priority="1366" operator="containsText" text="Pesquisa de Preços">
      <formula>NOT(ISERROR(SEARCH("Pesquisa de Preços",E2329)))</formula>
    </cfRule>
  </conditionalFormatting>
  <conditionalFormatting sqref="E2362">
    <cfRule type="containsText" dxfId="559" priority="1365" operator="containsText" text="Pesquisa de Preços">
      <formula>NOT(ISERROR(SEARCH("Pesquisa de Preços",E2362)))</formula>
    </cfRule>
  </conditionalFormatting>
  <conditionalFormatting sqref="E2361">
    <cfRule type="containsText" dxfId="558" priority="1364" operator="containsText" text="Pesquisa de Preços">
      <formula>NOT(ISERROR(SEARCH("Pesquisa de Preços",E2361)))</formula>
    </cfRule>
  </conditionalFormatting>
  <conditionalFormatting sqref="E2349">
    <cfRule type="containsText" dxfId="557" priority="1362" operator="containsText" text="Pesquisa de Preços">
      <formula>NOT(ISERROR(SEARCH("Pesquisa de Preços",E2349)))</formula>
    </cfRule>
  </conditionalFormatting>
  <conditionalFormatting sqref="E2344:E2345 E2348">
    <cfRule type="containsText" dxfId="556" priority="1361" operator="containsText" text="Pesquisa de Preços">
      <formula>NOT(ISERROR(SEARCH("Pesquisa de Preços",E2344)))</formula>
    </cfRule>
  </conditionalFormatting>
  <conditionalFormatting sqref="E2356:E2357 E2359:E2360">
    <cfRule type="containsText" dxfId="555" priority="1359" operator="containsText" text="Pesquisa de Preços">
      <formula>NOT(ISERROR(SEARCH("Pesquisa de Preços",E2356)))</formula>
    </cfRule>
  </conditionalFormatting>
  <conditionalFormatting sqref="E2358">
    <cfRule type="containsText" dxfId="554" priority="1357" operator="containsText" text="Pesquisa de Preços">
      <formula>NOT(ISERROR(SEARCH("Pesquisa de Preços",E2358)))</formula>
    </cfRule>
  </conditionalFormatting>
  <conditionalFormatting sqref="E2338 E2341:E2342">
    <cfRule type="containsText" dxfId="553" priority="1356" operator="containsText" text="Pesquisa de Preços">
      <formula>NOT(ISERROR(SEARCH("Pesquisa de Preços",E2338)))</formula>
    </cfRule>
  </conditionalFormatting>
  <conditionalFormatting sqref="E2337">
    <cfRule type="containsText" dxfId="552" priority="1355" operator="containsText" text="Pesquisa de Preços">
      <formula>NOT(ISERROR(SEARCH("Pesquisa de Preços",E2337)))</formula>
    </cfRule>
  </conditionalFormatting>
  <conditionalFormatting sqref="E2340">
    <cfRule type="containsText" dxfId="551" priority="1354" operator="containsText" text="Pesquisa de Preços">
      <formula>NOT(ISERROR(SEARCH("Pesquisa de Preços",E2340)))</formula>
    </cfRule>
  </conditionalFormatting>
  <conditionalFormatting sqref="E2367:E2370">
    <cfRule type="containsText" dxfId="550" priority="1353" operator="containsText" text="Pesquisa de Preços">
      <formula>NOT(ISERROR(SEARCH("Pesquisa de Preços",E2367)))</formula>
    </cfRule>
  </conditionalFormatting>
  <conditionalFormatting sqref="E2372 E2374:E2375">
    <cfRule type="containsText" dxfId="549" priority="1351" operator="containsText" text="Pesquisa de Preços">
      <formula>NOT(ISERROR(SEARCH("Pesquisa de Preços",E2372)))</formula>
    </cfRule>
  </conditionalFormatting>
  <conditionalFormatting sqref="E898:E899 E901:E903">
    <cfRule type="containsText" dxfId="548" priority="1349" operator="containsText" text="Pesquisa de Preços">
      <formula>NOT(ISERROR(SEARCH("Pesquisa de Preços",E898)))</formula>
    </cfRule>
  </conditionalFormatting>
  <conditionalFormatting sqref="E858:E859 E862:E863">
    <cfRule type="containsText" dxfId="547" priority="1341" operator="containsText" text="Pesquisa de Preços">
      <formula>NOT(ISERROR(SEARCH("Pesquisa de Preços",E858)))</formula>
    </cfRule>
  </conditionalFormatting>
  <conditionalFormatting sqref="E879:E880 E883:E884">
    <cfRule type="containsText" dxfId="546" priority="1347" operator="containsText" text="Pesquisa de Preços">
      <formula>NOT(ISERROR(SEARCH("Pesquisa de Preços",E879)))</formula>
    </cfRule>
  </conditionalFormatting>
  <conditionalFormatting sqref="E881:E882">
    <cfRule type="containsText" dxfId="545" priority="1345" operator="containsText" text="Pesquisa de Preços">
      <formula>NOT(ISERROR(SEARCH("Pesquisa de Preços",E881)))</formula>
    </cfRule>
  </conditionalFormatting>
  <conditionalFormatting sqref="E886:E887 E890:E891">
    <cfRule type="containsText" dxfId="544" priority="1344" operator="containsText" text="Pesquisa de Preços">
      <formula>NOT(ISERROR(SEARCH("Pesquisa de Preços",E886)))</formula>
    </cfRule>
  </conditionalFormatting>
  <conditionalFormatting sqref="E888:E889">
    <cfRule type="containsText" dxfId="543" priority="1342" operator="containsText" text="Pesquisa de Preços">
      <formula>NOT(ISERROR(SEARCH("Pesquisa de Preços",E888)))</formula>
    </cfRule>
  </conditionalFormatting>
  <conditionalFormatting sqref="E860:E861">
    <cfRule type="containsText" dxfId="542" priority="1339" operator="containsText" text="Pesquisa de Preços">
      <formula>NOT(ISERROR(SEARCH("Pesquisa de Preços",E860)))</formula>
    </cfRule>
  </conditionalFormatting>
  <conditionalFormatting sqref="E847:E850">
    <cfRule type="containsText" dxfId="541" priority="1338" operator="containsText" text="Pesquisa de Preços">
      <formula>NOT(ISERROR(SEARCH("Pesquisa de Preços",E847)))</formula>
    </cfRule>
  </conditionalFormatting>
  <conditionalFormatting sqref="E846">
    <cfRule type="containsText" dxfId="540" priority="1337" operator="containsText" text="Pesquisa de Preços">
      <formula>NOT(ISERROR(SEARCH("Pesquisa de Preços",E846)))</formula>
    </cfRule>
  </conditionalFormatting>
  <conditionalFormatting sqref="E852 E855:E856">
    <cfRule type="containsText" dxfId="539" priority="1336" operator="containsText" text="Pesquisa de Preços">
      <formula>NOT(ISERROR(SEARCH("Pesquisa de Preços",E852)))</formula>
    </cfRule>
  </conditionalFormatting>
  <conditionalFormatting sqref="E851">
    <cfRule type="containsText" dxfId="538" priority="1335" operator="containsText" text="Pesquisa de Preços">
      <formula>NOT(ISERROR(SEARCH("Pesquisa de Preços",E851)))</formula>
    </cfRule>
  </conditionalFormatting>
  <conditionalFormatting sqref="E871">
    <cfRule type="containsText" dxfId="537" priority="1334" operator="containsText" text="Pesquisa de Preços">
      <formula>NOT(ISERROR(SEARCH("Pesquisa de Preços",E871)))</formula>
    </cfRule>
  </conditionalFormatting>
  <conditionalFormatting sqref="E870">
    <cfRule type="containsText" dxfId="536" priority="1333" operator="containsText" text="Pesquisa de Preços">
      <formula>NOT(ISERROR(SEARCH("Pesquisa de Preços",E870)))</formula>
    </cfRule>
  </conditionalFormatting>
  <conditionalFormatting sqref="E865">
    <cfRule type="containsText" dxfId="535" priority="1332" operator="containsText" text="Pesquisa de Preços">
      <formula>NOT(ISERROR(SEARCH("Pesquisa de Preços",E865)))</formula>
    </cfRule>
  </conditionalFormatting>
  <conditionalFormatting sqref="E864">
    <cfRule type="containsText" dxfId="534" priority="1331" operator="containsText" text="Pesquisa de Preços">
      <formula>NOT(ISERROR(SEARCH("Pesquisa de Preços",E864)))</formula>
    </cfRule>
  </conditionalFormatting>
  <conditionalFormatting sqref="E893:E894">
    <cfRule type="containsText" dxfId="533" priority="1330" operator="containsText" text="Pesquisa de Preços">
      <formula>NOT(ISERROR(SEARCH("Pesquisa de Preços",E893)))</formula>
    </cfRule>
  </conditionalFormatting>
  <conditionalFormatting sqref="E892">
    <cfRule type="containsText" dxfId="532" priority="1329" operator="containsText" text="Pesquisa de Preços">
      <formula>NOT(ISERROR(SEARCH("Pesquisa de Preços",E892)))</formula>
    </cfRule>
  </conditionalFormatting>
  <conditionalFormatting sqref="E905:E906">
    <cfRule type="containsText" dxfId="531" priority="1328" operator="containsText" text="Pesquisa de Preços">
      <formula>NOT(ISERROR(SEARCH("Pesquisa de Preços",E905)))</formula>
    </cfRule>
  </conditionalFormatting>
  <conditionalFormatting sqref="E904">
    <cfRule type="containsText" dxfId="530" priority="1327" operator="containsText" text="Pesquisa de Preços">
      <formula>NOT(ISERROR(SEARCH("Pesquisa de Preços",E904)))</formula>
    </cfRule>
  </conditionalFormatting>
  <conditionalFormatting sqref="E2383:E2384">
    <cfRule type="containsText" dxfId="529" priority="1326" operator="containsText" text="Pesquisa de Preços">
      <formula>NOT(ISERROR(SEARCH("Pesquisa de Preços",E2383)))</formula>
    </cfRule>
  </conditionalFormatting>
  <conditionalFormatting sqref="E2382">
    <cfRule type="containsText" dxfId="528" priority="1325" operator="containsText" text="Pesquisa de Preços">
      <formula>NOT(ISERROR(SEARCH("Pesquisa de Preços",E2382)))</formula>
    </cfRule>
  </conditionalFormatting>
  <conditionalFormatting sqref="E2391 E2394 E2396">
    <cfRule type="containsText" dxfId="527" priority="1324" operator="containsText" text="Pesquisa de Preços">
      <formula>NOT(ISERROR(SEARCH("Pesquisa de Preços",E2391)))</formula>
    </cfRule>
  </conditionalFormatting>
  <conditionalFormatting sqref="E2390">
    <cfRule type="containsText" dxfId="526" priority="1323" operator="containsText" text="Pesquisa de Preços">
      <formula>NOT(ISERROR(SEARCH("Pesquisa de Preços",E2390)))</formula>
    </cfRule>
  </conditionalFormatting>
  <conditionalFormatting sqref="E2377:E2378 E2380:E2381">
    <cfRule type="containsText" dxfId="525" priority="1322" operator="containsText" text="Pesquisa de Preços">
      <formula>NOT(ISERROR(SEARCH("Pesquisa de Preços",E2377)))</formula>
    </cfRule>
  </conditionalFormatting>
  <conditionalFormatting sqref="E2404 E2409">
    <cfRule type="containsText" dxfId="524" priority="1319" operator="containsText" text="Pesquisa de Preços">
      <formula>NOT(ISERROR(SEARCH("Pesquisa de Preços",E2404)))</formula>
    </cfRule>
  </conditionalFormatting>
  <conditionalFormatting sqref="E2379">
    <cfRule type="containsText" dxfId="523" priority="1320" operator="containsText" text="Pesquisa de Preços">
      <formula>NOT(ISERROR(SEARCH("Pesquisa de Preços",E2379)))</formula>
    </cfRule>
  </conditionalFormatting>
  <conditionalFormatting sqref="E2398">
    <cfRule type="containsText" dxfId="522" priority="1317" operator="containsText" text="Pesquisa de Preços">
      <formula>NOT(ISERROR(SEARCH("Pesquisa de Preços",E2398)))</formula>
    </cfRule>
  </conditionalFormatting>
  <conditionalFormatting sqref="E1775:E1776 E1779:E1780">
    <cfRule type="containsText" dxfId="521" priority="1315" operator="containsText" text="Pesquisa de Preços">
      <formula>NOT(ISERROR(SEARCH("Pesquisa de Preços",E1775)))</formula>
    </cfRule>
  </conditionalFormatting>
  <conditionalFormatting sqref="E1774">
    <cfRule type="containsText" dxfId="520" priority="1314" operator="containsText" text="Pesquisa de Preços">
      <formula>NOT(ISERROR(SEARCH("Pesquisa de Preços",E1774)))</formula>
    </cfRule>
  </conditionalFormatting>
  <conditionalFormatting sqref="E1747">
    <cfRule type="containsText" dxfId="519" priority="1241" operator="containsText" text="Pesquisa de Preços">
      <formula>NOT(ISERROR(SEARCH("Pesquisa de Preços",E1747)))</formula>
    </cfRule>
  </conditionalFormatting>
  <conditionalFormatting sqref="E1777:E1778">
    <cfRule type="containsText" dxfId="518" priority="1313" operator="containsText" text="Pesquisa de Preços">
      <formula>NOT(ISERROR(SEARCH("Pesquisa de Preços",E1777)))</formula>
    </cfRule>
  </conditionalFormatting>
  <conditionalFormatting sqref="E1789:E1790 E1793:E1794">
    <cfRule type="containsText" dxfId="517" priority="1312" operator="containsText" text="Pesquisa de Preços">
      <formula>NOT(ISERROR(SEARCH("Pesquisa de Preços",E1789)))</formula>
    </cfRule>
  </conditionalFormatting>
  <conditionalFormatting sqref="E1788">
    <cfRule type="containsText" dxfId="516" priority="1311" operator="containsText" text="Pesquisa de Preços">
      <formula>NOT(ISERROR(SEARCH("Pesquisa de Preços",E1788)))</formula>
    </cfRule>
  </conditionalFormatting>
  <conditionalFormatting sqref="E1791:E1792">
    <cfRule type="containsText" dxfId="515" priority="1310" operator="containsText" text="Pesquisa de Preços">
      <formula>NOT(ISERROR(SEARCH("Pesquisa de Preços",E1791)))</formula>
    </cfRule>
  </conditionalFormatting>
  <conditionalFormatting sqref="E1803:E1804 E1807:E1808">
    <cfRule type="containsText" dxfId="514" priority="1309" operator="containsText" text="Pesquisa de Preços">
      <formula>NOT(ISERROR(SEARCH("Pesquisa de Preços",E1803)))</formula>
    </cfRule>
  </conditionalFormatting>
  <conditionalFormatting sqref="E1802">
    <cfRule type="containsText" dxfId="513" priority="1308" operator="containsText" text="Pesquisa de Preços">
      <formula>NOT(ISERROR(SEARCH("Pesquisa de Preços",E1802)))</formula>
    </cfRule>
  </conditionalFormatting>
  <conditionalFormatting sqref="E1805:E1806">
    <cfRule type="containsText" dxfId="512" priority="1307" operator="containsText" text="Pesquisa de Preços">
      <formula>NOT(ISERROR(SEARCH("Pesquisa de Preços",E1805)))</formula>
    </cfRule>
  </conditionalFormatting>
  <conditionalFormatting sqref="E1761:E1762 E1765:E1766">
    <cfRule type="containsText" dxfId="511" priority="1306" operator="containsText" text="Pesquisa de Preços">
      <formula>NOT(ISERROR(SEARCH("Pesquisa de Preços",E1761)))</formula>
    </cfRule>
  </conditionalFormatting>
  <conditionalFormatting sqref="E1760">
    <cfRule type="containsText" dxfId="510" priority="1305" operator="containsText" text="Pesquisa de Preços">
      <formula>NOT(ISERROR(SEARCH("Pesquisa de Preços",E1760)))</formula>
    </cfRule>
  </conditionalFormatting>
  <conditionalFormatting sqref="E1763:E1764">
    <cfRule type="containsText" dxfId="509" priority="1304" operator="containsText" text="Pesquisa de Preços">
      <formula>NOT(ISERROR(SEARCH("Pesquisa de Preços",E1763)))</formula>
    </cfRule>
  </conditionalFormatting>
  <conditionalFormatting sqref="E1768:E1769 E1772:E1773">
    <cfRule type="containsText" dxfId="508" priority="1303" operator="containsText" text="Pesquisa de Preços">
      <formula>NOT(ISERROR(SEARCH("Pesquisa de Preços",E1768)))</formula>
    </cfRule>
  </conditionalFormatting>
  <conditionalFormatting sqref="E1767">
    <cfRule type="containsText" dxfId="507" priority="1302" operator="containsText" text="Pesquisa de Preços">
      <formula>NOT(ISERROR(SEARCH("Pesquisa de Preços",E1767)))</formula>
    </cfRule>
  </conditionalFormatting>
  <conditionalFormatting sqref="E593 E597">
    <cfRule type="containsText" dxfId="506" priority="1240" operator="containsText" text="Pesquisa de Preços">
      <formula>NOT(ISERROR(SEARCH("Pesquisa de Preços",E593)))</formula>
    </cfRule>
  </conditionalFormatting>
  <conditionalFormatting sqref="E1770:E1771">
    <cfRule type="containsText" dxfId="505" priority="1301" operator="containsText" text="Pesquisa de Preços">
      <formula>NOT(ISERROR(SEARCH("Pesquisa de Preços",E1770)))</formula>
    </cfRule>
  </conditionalFormatting>
  <conditionalFormatting sqref="E1782 E1787">
    <cfRule type="containsText" dxfId="504" priority="1300" operator="containsText" text="Pesquisa de Preços">
      <formula>NOT(ISERROR(SEARCH("Pesquisa de Preços",E1782)))</formula>
    </cfRule>
  </conditionalFormatting>
  <conditionalFormatting sqref="E1781">
    <cfRule type="containsText" dxfId="503" priority="1299" operator="containsText" text="Pesquisa de Preços">
      <formula>NOT(ISERROR(SEARCH("Pesquisa de Preços",E1781)))</formula>
    </cfRule>
  </conditionalFormatting>
  <conditionalFormatting sqref="E379">
    <cfRule type="containsText" dxfId="502" priority="1237" operator="containsText" text="Pesquisa de Preços">
      <formula>NOT(ISERROR(SEARCH("Pesquisa de Preços",E379)))</formula>
    </cfRule>
  </conditionalFormatting>
  <conditionalFormatting sqref="E1801">
    <cfRule type="containsText" dxfId="501" priority="1298" operator="containsText" text="Pesquisa de Preços">
      <formula>NOT(ISERROR(SEARCH("Pesquisa de Preços",E1801)))</formula>
    </cfRule>
  </conditionalFormatting>
  <conditionalFormatting sqref="E1175">
    <cfRule type="containsText" dxfId="500" priority="1297" operator="containsText" text="Pesquisa de Preços">
      <formula>NOT(ISERROR(SEARCH("Pesquisa de Preços",E1175)))</formula>
    </cfRule>
  </conditionalFormatting>
  <conditionalFormatting sqref="E1985">
    <cfRule type="containsText" dxfId="499" priority="1295" operator="containsText" text="Pesquisa de Preços">
      <formula>NOT(ISERROR(SEARCH("Pesquisa de Preços",E1985)))</formula>
    </cfRule>
  </conditionalFormatting>
  <conditionalFormatting sqref="E1982:E1983">
    <cfRule type="containsText" dxfId="498" priority="1294" operator="containsText" text="Pesquisa de Preços">
      <formula>NOT(ISERROR(SEARCH("Pesquisa de Preços",E1982)))</formula>
    </cfRule>
  </conditionalFormatting>
  <conditionalFormatting sqref="E2018 E2021">
    <cfRule type="containsText" dxfId="497" priority="1293" operator="containsText" text="Pesquisa de Preços">
      <formula>NOT(ISERROR(SEARCH("Pesquisa de Preços",E2018)))</formula>
    </cfRule>
  </conditionalFormatting>
  <conditionalFormatting sqref="E2019:E2020">
    <cfRule type="containsText" dxfId="496" priority="1292" operator="containsText" text="Pesquisa de Preços">
      <formula>NOT(ISERROR(SEARCH("Pesquisa de Preços",E2019)))</formula>
    </cfRule>
  </conditionalFormatting>
  <conditionalFormatting sqref="E1997 E2000">
    <cfRule type="containsText" dxfId="495" priority="1291" operator="containsText" text="Pesquisa de Preços">
      <formula>NOT(ISERROR(SEARCH("Pesquisa de Preços",E1997)))</formula>
    </cfRule>
  </conditionalFormatting>
  <conditionalFormatting sqref="E1998:E1999">
    <cfRule type="containsText" dxfId="494" priority="1290" operator="containsText" text="Pesquisa de Preços">
      <formula>NOT(ISERROR(SEARCH("Pesquisa de Preços",E1998)))</formula>
    </cfRule>
  </conditionalFormatting>
  <conditionalFormatting sqref="E2098:E2099">
    <cfRule type="containsText" dxfId="493" priority="1289" operator="containsText" text="Pesquisa de Preços">
      <formula>NOT(ISERROR(SEARCH("Pesquisa de Preços",E2098)))</formula>
    </cfRule>
  </conditionalFormatting>
  <conditionalFormatting sqref="E2034:E2035">
    <cfRule type="containsText" dxfId="492" priority="1288" operator="containsText" text="Pesquisa de Preços">
      <formula>NOT(ISERROR(SEARCH("Pesquisa de Preços",E2034)))</formula>
    </cfRule>
  </conditionalFormatting>
  <conditionalFormatting sqref="E830">
    <cfRule type="containsText" dxfId="491" priority="1220" operator="containsText" text="Pesquisa de Preços">
      <formula>NOT(ISERROR(SEARCH("Pesquisa de Preços",E830)))</formula>
    </cfRule>
  </conditionalFormatting>
  <conditionalFormatting sqref="E831">
    <cfRule type="containsText" dxfId="490" priority="1219" operator="containsText" text="Pesquisa de Preços">
      <formula>NOT(ISERROR(SEARCH("Pesquisa de Preços",E831)))</formula>
    </cfRule>
  </conditionalFormatting>
  <conditionalFormatting sqref="E94:E95">
    <cfRule type="containsText" dxfId="489" priority="1214" operator="containsText" text="Pesquisa de Preços">
      <formula>NOT(ISERROR(SEARCH("Pesquisa de Preços",E94)))</formula>
    </cfRule>
  </conditionalFormatting>
  <conditionalFormatting sqref="E206">
    <cfRule type="containsText" dxfId="488" priority="1212" operator="containsText" text="Pesquisa de Preços">
      <formula>NOT(ISERROR(SEARCH("Pesquisa de Preços",E206)))</formula>
    </cfRule>
  </conditionalFormatting>
  <conditionalFormatting sqref="E1640">
    <cfRule type="containsText" dxfId="487" priority="1210" operator="containsText" text="Pesquisa de Preços">
      <formula>NOT(ISERROR(SEARCH("Pesquisa de Preços",E1640)))</formula>
    </cfRule>
  </conditionalFormatting>
  <conditionalFormatting sqref="E1616">
    <cfRule type="containsText" dxfId="486" priority="1208" operator="containsText" text="Pesquisa de Preços">
      <formula>NOT(ISERROR(SEARCH("Pesquisa de Preços",E1616)))</formula>
    </cfRule>
  </conditionalFormatting>
  <conditionalFormatting sqref="E1692">
    <cfRule type="containsText" dxfId="485" priority="1207" operator="containsText" text="Pesquisa de Preços">
      <formula>NOT(ISERROR(SEARCH("Pesquisa de Preços",E1692)))</formula>
    </cfRule>
  </conditionalFormatting>
  <conditionalFormatting sqref="E54">
    <cfRule type="containsText" dxfId="484" priority="1270" operator="containsText" text="Pesquisa de Preços">
      <formula>NOT(ISERROR(SEARCH("Pesquisa de Preços",E54)))</formula>
    </cfRule>
  </conditionalFormatting>
  <conditionalFormatting sqref="E205">
    <cfRule type="containsText" dxfId="483" priority="1287" operator="containsText" text="Pesquisa de Preços">
      <formula>NOT(ISERROR(SEARCH("Pesquisa de Preços",E205)))</formula>
    </cfRule>
  </conditionalFormatting>
  <conditionalFormatting sqref="E204">
    <cfRule type="containsText" dxfId="482" priority="1286" operator="containsText" text="Pesquisa de Preços">
      <formula>NOT(ISERROR(SEARCH("Pesquisa de Preços",E204)))</formula>
    </cfRule>
  </conditionalFormatting>
  <conditionalFormatting sqref="E103:E104">
    <cfRule type="containsText" dxfId="481" priority="1285" operator="containsText" text="Pesquisa de Preços">
      <formula>NOT(ISERROR(SEARCH("Pesquisa de Preços",E103)))</formula>
    </cfRule>
  </conditionalFormatting>
  <conditionalFormatting sqref="E102">
    <cfRule type="containsText" dxfId="480" priority="1284" operator="containsText" text="Pesquisa de Preços">
      <formula>NOT(ISERROR(SEARCH("Pesquisa de Preços",E102)))</formula>
    </cfRule>
  </conditionalFormatting>
  <conditionalFormatting sqref="E422:E423">
    <cfRule type="containsText" dxfId="479" priority="1283" operator="containsText" text="Pesquisa de Preços">
      <formula>NOT(ISERROR(SEARCH("Pesquisa de Preços",E422)))</formula>
    </cfRule>
  </conditionalFormatting>
  <conditionalFormatting sqref="E421">
    <cfRule type="containsText" dxfId="478" priority="1282" operator="containsText" text="Pesquisa de Preços">
      <formula>NOT(ISERROR(SEARCH("Pesquisa de Preços",E421)))</formula>
    </cfRule>
  </conditionalFormatting>
  <conditionalFormatting sqref="E424:E426">
    <cfRule type="containsText" dxfId="477" priority="1281" operator="containsText" text="Pesquisa de Preços">
      <formula>NOT(ISERROR(SEARCH("Pesquisa de Preços",E424)))</formula>
    </cfRule>
  </conditionalFormatting>
  <conditionalFormatting sqref="E619 E623">
    <cfRule type="containsText" dxfId="476" priority="1280" operator="containsText" text="Pesquisa de Preços">
      <formula>NOT(ISERROR(SEARCH("Pesquisa de Preços",E619)))</formula>
    </cfRule>
  </conditionalFormatting>
  <conditionalFormatting sqref="E618">
    <cfRule type="containsText" dxfId="475" priority="1279" operator="containsText" text="Pesquisa de Preços">
      <formula>NOT(ISERROR(SEARCH("Pesquisa de Preços",E618)))</formula>
    </cfRule>
  </conditionalFormatting>
  <conditionalFormatting sqref="E592 E598">
    <cfRule type="containsText" dxfId="474" priority="1278" operator="containsText" text="Pesquisa de Preços">
      <formula>NOT(ISERROR(SEARCH("Pesquisa de Preços",E592)))</formula>
    </cfRule>
  </conditionalFormatting>
  <conditionalFormatting sqref="E591">
    <cfRule type="containsText" dxfId="473" priority="1277" operator="containsText" text="Pesquisa de Preços">
      <formula>NOT(ISERROR(SEARCH("Pesquisa de Preços",E591)))</formula>
    </cfRule>
  </conditionalFormatting>
  <conditionalFormatting sqref="E641:E642 E645:E646">
    <cfRule type="containsText" dxfId="472" priority="1276" operator="containsText" text="Pesquisa de Preços">
      <formula>NOT(ISERROR(SEARCH("Pesquisa de Preços",E641)))</formula>
    </cfRule>
  </conditionalFormatting>
  <conditionalFormatting sqref="E640">
    <cfRule type="containsText" dxfId="471" priority="1275" operator="containsText" text="Pesquisa de Preços">
      <formula>NOT(ISERROR(SEARCH("Pesquisa de Preços",E640)))</formula>
    </cfRule>
  </conditionalFormatting>
  <conditionalFormatting sqref="E643:E644">
    <cfRule type="containsText" dxfId="470" priority="1274" operator="containsText" text="Pesquisa de Preços">
      <formula>NOT(ISERROR(SEARCH("Pesquisa de Preços",E643)))</formula>
    </cfRule>
  </conditionalFormatting>
  <conditionalFormatting sqref="E225">
    <cfRule type="containsText" dxfId="469" priority="1273" operator="containsText" text="Pesquisa de Preços">
      <formula>NOT(ISERROR(SEARCH("Pesquisa de Preços",E225)))</formula>
    </cfRule>
  </conditionalFormatting>
  <conditionalFormatting sqref="E150:E151">
    <cfRule type="containsText" dxfId="468" priority="1272" operator="containsText" text="Pesquisa de Preços">
      <formula>NOT(ISERROR(SEARCH("Pesquisa de Preços",E150)))</formula>
    </cfRule>
  </conditionalFormatting>
  <conditionalFormatting sqref="E162:E163">
    <cfRule type="containsText" dxfId="467" priority="1271" operator="containsText" text="Pesquisa de Preços">
      <formula>NOT(ISERROR(SEARCH("Pesquisa de Preços",E162)))</formula>
    </cfRule>
  </conditionalFormatting>
  <conditionalFormatting sqref="E55:E57">
    <cfRule type="containsText" dxfId="466" priority="1269" operator="containsText" text="Pesquisa de Preços">
      <formula>NOT(ISERROR(SEARCH("Pesquisa de Preços",E55)))</formula>
    </cfRule>
  </conditionalFormatting>
  <conditionalFormatting sqref="E30:E31">
    <cfRule type="containsText" dxfId="465" priority="1268" operator="containsText" text="Pesquisa de Preços">
      <formula>NOT(ISERROR(SEARCH("Pesquisa de Preços",E30)))</formula>
    </cfRule>
  </conditionalFormatting>
  <conditionalFormatting sqref="E25:E26">
    <cfRule type="containsText" dxfId="464" priority="1267" operator="containsText" text="Pesquisa de Preços">
      <formula>NOT(ISERROR(SEARCH("Pesquisa de Preços",E25)))</formula>
    </cfRule>
  </conditionalFormatting>
  <conditionalFormatting sqref="E180">
    <cfRule type="containsText" dxfId="463" priority="1266" operator="containsText" text="Pesquisa de Preços">
      <formula>NOT(ISERROR(SEARCH("Pesquisa de Preços",E180)))</formula>
    </cfRule>
  </conditionalFormatting>
  <conditionalFormatting sqref="E127:E128">
    <cfRule type="containsText" dxfId="462" priority="1265" operator="containsText" text="Pesquisa de Preços">
      <formula>NOT(ISERROR(SEARCH("Pesquisa de Preços",E127)))</formula>
    </cfRule>
  </conditionalFormatting>
  <conditionalFormatting sqref="E1925">
    <cfRule type="containsText" dxfId="461" priority="1190" operator="containsText" text="Pesquisa de Preços">
      <formula>NOT(ISERROR(SEARCH("Pesquisa de Preços",E1925)))</formula>
    </cfRule>
  </conditionalFormatting>
  <conditionalFormatting sqref="E84">
    <cfRule type="containsText" dxfId="460" priority="1264" operator="containsText" text="Pesquisa de Preços">
      <formula>NOT(ISERROR(SEARCH("Pesquisa de Preços",E84)))</formula>
    </cfRule>
  </conditionalFormatting>
  <conditionalFormatting sqref="E85">
    <cfRule type="containsText" dxfId="459" priority="1263" operator="containsText" text="Pesquisa de Preços">
      <formula>NOT(ISERROR(SEARCH("Pesquisa de Preços",E85)))</formula>
    </cfRule>
  </conditionalFormatting>
  <conditionalFormatting sqref="E61">
    <cfRule type="containsText" dxfId="458" priority="1262" operator="containsText" text="Pesquisa de Preços">
      <formula>NOT(ISERROR(SEARCH("Pesquisa de Preços",E61)))</formula>
    </cfRule>
  </conditionalFormatting>
  <conditionalFormatting sqref="E62">
    <cfRule type="containsText" dxfId="457" priority="1261" operator="containsText" text="Pesquisa de Preços">
      <formula>NOT(ISERROR(SEARCH("Pesquisa de Preços",E62)))</formula>
    </cfRule>
  </conditionalFormatting>
  <conditionalFormatting sqref="E2363">
    <cfRule type="containsText" dxfId="456" priority="1187" operator="containsText" text="Pesquisa de Preços">
      <formula>NOT(ISERROR(SEARCH("Pesquisa de Preços",E2363)))</formula>
    </cfRule>
  </conditionalFormatting>
  <conditionalFormatting sqref="E44:E45">
    <cfRule type="containsText" dxfId="455" priority="1260" operator="containsText" text="Pesquisa de Preços">
      <formula>NOT(ISERROR(SEARCH("Pesquisa de Preços",E44)))</formula>
    </cfRule>
  </conditionalFormatting>
  <conditionalFormatting sqref="E310">
    <cfRule type="containsText" dxfId="454" priority="1259" operator="containsText" text="Pesquisa de Preços">
      <formula>NOT(ISERROR(SEARCH("Pesquisa de Preços",E310)))</formula>
    </cfRule>
  </conditionalFormatting>
  <conditionalFormatting sqref="E296">
    <cfRule type="containsText" dxfId="453" priority="1258" operator="containsText" text="Pesquisa de Preços">
      <formula>NOT(ISERROR(SEARCH("Pesquisa de Preços",E296)))</formula>
    </cfRule>
  </conditionalFormatting>
  <conditionalFormatting sqref="E456">
    <cfRule type="containsText" dxfId="452" priority="1257" operator="containsText" text="Pesquisa de Preços">
      <formula>NOT(ISERROR(SEARCH("Pesquisa de Preços",E456)))</formula>
    </cfRule>
  </conditionalFormatting>
  <conditionalFormatting sqref="E499:E500">
    <cfRule type="containsText" dxfId="451" priority="1254" operator="containsText" text="Pesquisa de Preços">
      <formula>NOT(ISERROR(SEARCH("Pesquisa de Preços",E499)))</formula>
    </cfRule>
  </conditionalFormatting>
  <conditionalFormatting sqref="E466">
    <cfRule type="containsText" dxfId="450" priority="1256" operator="containsText" text="Pesquisa de Preços">
      <formula>NOT(ISERROR(SEARCH("Pesquisa de Preços",E466)))</formula>
    </cfRule>
  </conditionalFormatting>
  <conditionalFormatting sqref="E498 E501">
    <cfRule type="containsText" dxfId="449" priority="1255" operator="containsText" text="Pesquisa de Preços">
      <formula>NOT(ISERROR(SEARCH("Pesquisa de Preços",E498)))</formula>
    </cfRule>
  </conditionalFormatting>
  <conditionalFormatting sqref="E626">
    <cfRule type="containsText" dxfId="448" priority="1253" operator="containsText" text="Pesquisa de Preços">
      <formula>NOT(ISERROR(SEARCH("Pesquisa de Preços",E626)))</formula>
    </cfRule>
  </conditionalFormatting>
  <conditionalFormatting sqref="E627:E629">
    <cfRule type="containsText" dxfId="447" priority="1252" operator="containsText" text="Pesquisa de Preços">
      <formula>NOT(ISERROR(SEARCH("Pesquisa de Preços",E627)))</formula>
    </cfRule>
  </conditionalFormatting>
  <conditionalFormatting sqref="E998">
    <cfRule type="containsText" dxfId="446" priority="1251" operator="containsText" text="Pesquisa de Preços">
      <formula>NOT(ISERROR(SEARCH("Pesquisa de Preços",E998)))</formula>
    </cfRule>
  </conditionalFormatting>
  <conditionalFormatting sqref="E617">
    <cfRule type="containsText" dxfId="445" priority="1235" operator="containsText" text="Pesquisa de Preços">
      <formula>NOT(ISERROR(SEARCH("Pesquisa de Preços",E617)))</formula>
    </cfRule>
  </conditionalFormatting>
  <conditionalFormatting sqref="E738">
    <cfRule type="containsText" dxfId="444" priority="1234" operator="containsText" text="Pesquisa de Preços">
      <formula>NOT(ISERROR(SEARCH("Pesquisa de Preços",E738)))</formula>
    </cfRule>
  </conditionalFormatting>
  <conditionalFormatting sqref="E1502">
    <cfRule type="containsText" dxfId="443" priority="1248" operator="containsText" text="Pesquisa de Preços">
      <formula>NOT(ISERROR(SEARCH("Pesquisa de Preços",E1502)))</formula>
    </cfRule>
  </conditionalFormatting>
  <conditionalFormatting sqref="E594:E596">
    <cfRule type="containsText" dxfId="442" priority="1239" operator="containsText" text="Pesquisa de Preços">
      <formula>NOT(ISERROR(SEARCH("Pesquisa de Preços",E594)))</formula>
    </cfRule>
  </conditionalFormatting>
  <conditionalFormatting sqref="E1629:E1630">
    <cfRule type="containsText" dxfId="441" priority="1244" operator="containsText" text="Pesquisa de Preços">
      <formula>NOT(ISERROR(SEARCH("Pesquisa de Preços",E1629)))</formula>
    </cfRule>
  </conditionalFormatting>
  <conditionalFormatting sqref="E1634">
    <cfRule type="containsText" dxfId="440" priority="1247" operator="containsText" text="Pesquisa de Preços">
      <formula>NOT(ISERROR(SEARCH("Pesquisa de Preços",E1634)))</formula>
    </cfRule>
  </conditionalFormatting>
  <conditionalFormatting sqref="E1635:E1636">
    <cfRule type="containsText" dxfId="439" priority="1246" operator="containsText" text="Pesquisa de Preços">
      <formula>NOT(ISERROR(SEARCH("Pesquisa de Preços",E1635)))</formula>
    </cfRule>
  </conditionalFormatting>
  <conditionalFormatting sqref="E1628">
    <cfRule type="containsText" dxfId="438" priority="1245" operator="containsText" text="Pesquisa de Preços">
      <formula>NOT(ISERROR(SEARCH("Pesquisa de Preços",E1628)))</formula>
    </cfRule>
  </conditionalFormatting>
  <conditionalFormatting sqref="E1751">
    <cfRule type="containsText" dxfId="437" priority="1243" operator="containsText" text="Pesquisa de Preços">
      <formula>NOT(ISERROR(SEARCH("Pesquisa de Preços",E1751)))</formula>
    </cfRule>
  </conditionalFormatting>
  <conditionalFormatting sqref="E380">
    <cfRule type="containsText" dxfId="436" priority="1238" operator="containsText" text="Pesquisa de Preços">
      <formula>NOT(ISERROR(SEARCH("Pesquisa de Preços",E380)))</formula>
    </cfRule>
  </conditionalFormatting>
  <conditionalFormatting sqref="E1072:E1073">
    <cfRule type="containsText" dxfId="435" priority="1160" operator="containsText" text="Pesquisa de Preços">
      <formula>NOT(ISERROR(SEARCH("Pesquisa de Preços",E1072)))</formula>
    </cfRule>
  </conditionalFormatting>
  <conditionalFormatting sqref="E608">
    <cfRule type="containsText" dxfId="434" priority="1236" operator="containsText" text="Pesquisa de Preços">
      <formula>NOT(ISERROR(SEARCH("Pesquisa de Preços",E608)))</formula>
    </cfRule>
  </conditionalFormatting>
  <conditionalFormatting sqref="E1085:E1089">
    <cfRule type="containsText" dxfId="433" priority="1159" operator="containsText" text="Pesquisa de Preços">
      <formula>NOT(ISERROR(SEARCH("Pesquisa de Preços",E1085)))</formula>
    </cfRule>
  </conditionalFormatting>
  <conditionalFormatting sqref="E737">
    <cfRule type="containsText" dxfId="432" priority="1233" operator="containsText" text="Pesquisa de Preços">
      <formula>NOT(ISERROR(SEARCH("Pesquisa de Preços",E737)))</formula>
    </cfRule>
  </conditionalFormatting>
  <conditionalFormatting sqref="E634">
    <cfRule type="containsText" dxfId="431" priority="1230" operator="containsText" text="Pesquisa de Preços">
      <formula>NOT(ISERROR(SEARCH("Pesquisa de Preços",E634)))</formula>
    </cfRule>
  </conditionalFormatting>
  <conditionalFormatting sqref="E633 E638:E639">
    <cfRule type="containsText" dxfId="430" priority="1232" operator="containsText" text="Pesquisa de Preços">
      <formula>NOT(ISERROR(SEARCH("Pesquisa de Preços",E633)))</formula>
    </cfRule>
  </conditionalFormatting>
  <conditionalFormatting sqref="E632">
    <cfRule type="containsText" dxfId="429" priority="1231" operator="containsText" text="Pesquisa de Preços">
      <formula>NOT(ISERROR(SEARCH("Pesquisa de Preços",E632)))</formula>
    </cfRule>
  </conditionalFormatting>
  <conditionalFormatting sqref="E1262:E1263 E1258:E1259">
    <cfRule type="containsText" dxfId="428" priority="1228" operator="containsText" text="Pesquisa de Preços">
      <formula>NOT(ISERROR(SEARCH("Pesquisa de Preços",E1258)))</formula>
    </cfRule>
  </conditionalFormatting>
  <conditionalFormatting sqref="E635:E637">
    <cfRule type="containsText" dxfId="427" priority="1229" operator="containsText" text="Pesquisa de Preços">
      <formula>NOT(ISERROR(SEARCH("Pesquisa de Preços",E635)))</formula>
    </cfRule>
  </conditionalFormatting>
  <conditionalFormatting sqref="E1257">
    <cfRule type="containsText" dxfId="426" priority="1227" operator="containsText" text="Pesquisa de Preços">
      <formula>NOT(ISERROR(SEARCH("Pesquisa de Preços",E1257)))</formula>
    </cfRule>
  </conditionalFormatting>
  <conditionalFormatting sqref="E1260:E1261">
    <cfRule type="containsText" dxfId="425" priority="1226" operator="containsText" text="Pesquisa de Preços">
      <formula>NOT(ISERROR(SEARCH("Pesquisa de Preços",E1260)))</formula>
    </cfRule>
  </conditionalFormatting>
  <conditionalFormatting sqref="E1160 E1164:E1165">
    <cfRule type="containsText" dxfId="424" priority="1225" operator="containsText" text="Pesquisa de Preços">
      <formula>NOT(ISERROR(SEARCH("Pesquisa de Preços",E1160)))</formula>
    </cfRule>
  </conditionalFormatting>
  <conditionalFormatting sqref="E1159">
    <cfRule type="containsText" dxfId="423" priority="1224" operator="containsText" text="Pesquisa de Preços">
      <formula>NOT(ISERROR(SEARCH("Pesquisa de Preços",E1159)))</formula>
    </cfRule>
  </conditionalFormatting>
  <conditionalFormatting sqref="E1220:E1221 E1216:E1217">
    <cfRule type="containsText" dxfId="422" priority="1223" operator="containsText" text="Pesquisa de Preços">
      <formula>NOT(ISERROR(SEARCH("Pesquisa de Preços",E1216)))</formula>
    </cfRule>
  </conditionalFormatting>
  <conditionalFormatting sqref="E1215">
    <cfRule type="containsText" dxfId="421" priority="1222" operator="containsText" text="Pesquisa de Preços">
      <formula>NOT(ISERROR(SEARCH("Pesquisa de Preços",E1215)))</formula>
    </cfRule>
  </conditionalFormatting>
  <conditionalFormatting sqref="E1218:E1219">
    <cfRule type="containsText" dxfId="420" priority="1221" operator="containsText" text="Pesquisa de Preços">
      <formula>NOT(ISERROR(SEARCH("Pesquisa de Preços",E1218)))</formula>
    </cfRule>
  </conditionalFormatting>
  <conditionalFormatting sqref="E1354">
    <cfRule type="containsText" dxfId="419" priority="1158" operator="containsText" text="Pesquisa de Preços">
      <formula>NOT(ISERROR(SEARCH("Pesquisa de Preços",E1354)))</formula>
    </cfRule>
  </conditionalFormatting>
  <conditionalFormatting sqref="E866 E868:E869">
    <cfRule type="containsText" dxfId="418" priority="1218" operator="containsText" text="Pesquisa de Preços">
      <formula>NOT(ISERROR(SEARCH("Pesquisa de Preços",E866)))</formula>
    </cfRule>
  </conditionalFormatting>
  <conditionalFormatting sqref="E867">
    <cfRule type="containsText" dxfId="417" priority="1217" operator="containsText" text="Pesquisa de Preços">
      <formula>NOT(ISERROR(SEARCH("Pesquisa de Preços",E867)))</formula>
    </cfRule>
  </conditionalFormatting>
  <conditionalFormatting sqref="E1514">
    <cfRule type="containsText" dxfId="416" priority="1157" operator="containsText" text="Pesquisa de Preços">
      <formula>NOT(ISERROR(SEARCH("Pesquisa de Preços",E1514)))</formula>
    </cfRule>
  </conditionalFormatting>
  <conditionalFormatting sqref="E207">
    <cfRule type="containsText" dxfId="415" priority="1213" operator="containsText" text="Pesquisa de Preços">
      <formula>NOT(ISERROR(SEARCH("Pesquisa de Preços",E207)))</formula>
    </cfRule>
  </conditionalFormatting>
  <conditionalFormatting sqref="E1623">
    <cfRule type="containsText" dxfId="414" priority="1211" operator="containsText" text="Pesquisa de Preços">
      <formula>NOT(ISERROR(SEARCH("Pesquisa de Preços",E1623)))</formula>
    </cfRule>
  </conditionalFormatting>
  <conditionalFormatting sqref="E1690">
    <cfRule type="containsText" dxfId="413" priority="1209" operator="containsText" text="Pesquisa de Preços">
      <formula>NOT(ISERROR(SEARCH("Pesquisa de Preços",E1690)))</formula>
    </cfRule>
  </conditionalFormatting>
  <conditionalFormatting sqref="E1618">
    <cfRule type="containsText" dxfId="412" priority="1206" operator="containsText" text="Pesquisa de Preços">
      <formula>NOT(ISERROR(SEARCH("Pesquisa de Preços",E1618)))</formula>
    </cfRule>
  </conditionalFormatting>
  <conditionalFormatting sqref="E141">
    <cfRule type="containsText" dxfId="411" priority="1205" operator="containsText" text="Pesquisa de Preços">
      <formula>NOT(ISERROR(SEARCH("Pesquisa de Preços",E141)))</formula>
    </cfRule>
  </conditionalFormatting>
  <conditionalFormatting sqref="E803">
    <cfRule type="containsText" dxfId="410" priority="1204" operator="containsText" text="Pesquisa de Preços">
      <formula>NOT(ISERROR(SEARCH("Pesquisa de Preços",E803)))</formula>
    </cfRule>
  </conditionalFormatting>
  <conditionalFormatting sqref="E1006">
    <cfRule type="containsText" dxfId="409" priority="1203" operator="containsText" text="Pesquisa de Preços">
      <formula>NOT(ISERROR(SEARCH("Pesquisa de Preços",E1006)))</formula>
    </cfRule>
  </conditionalFormatting>
  <conditionalFormatting sqref="E1011">
    <cfRule type="containsText" dxfId="408" priority="1202" operator="containsText" text="Pesquisa de Preços">
      <formula>NOT(ISERROR(SEARCH("Pesquisa de Preços",E1011)))</formula>
    </cfRule>
  </conditionalFormatting>
  <conditionalFormatting sqref="E113">
    <cfRule type="containsText" dxfId="407" priority="1201" operator="containsText" text="Pesquisa de Preços">
      <formula>NOT(ISERROR(SEARCH("Pesquisa de Preços",E113)))</formula>
    </cfRule>
  </conditionalFormatting>
  <conditionalFormatting sqref="E114">
    <cfRule type="containsText" dxfId="406" priority="1200" operator="containsText" text="Pesquisa de Preços">
      <formula>NOT(ISERROR(SEARCH("Pesquisa de Preços",E114)))</formula>
    </cfRule>
  </conditionalFormatting>
  <conditionalFormatting sqref="E1485">
    <cfRule type="containsText" dxfId="405" priority="1156" operator="containsText" text="Pesquisa de Preços">
      <formula>NOT(ISERROR(SEARCH("Pesquisa de Preços",E1485)))</formula>
    </cfRule>
  </conditionalFormatting>
  <conditionalFormatting sqref="E1697:E1698">
    <cfRule type="containsText" dxfId="404" priority="1199" operator="containsText" text="Pesquisa de Preços">
      <formula>NOT(ISERROR(SEARCH("Pesquisa de Preços",E1697)))</formula>
    </cfRule>
  </conditionalFormatting>
  <conditionalFormatting sqref="E1663">
    <cfRule type="containsText" dxfId="403" priority="1198" operator="containsText" text="Pesquisa de Preços">
      <formula>NOT(ISERROR(SEARCH("Pesquisa de Preços",E1663)))</formula>
    </cfRule>
  </conditionalFormatting>
  <conditionalFormatting sqref="E1746">
    <cfRule type="containsText" dxfId="402" priority="1197" operator="containsText" text="Pesquisa de Preços">
      <formula>NOT(ISERROR(SEARCH("Pesquisa de Preços",E1746)))</formula>
    </cfRule>
  </conditionalFormatting>
  <conditionalFormatting sqref="E1828">
    <cfRule type="containsText" dxfId="401" priority="1194" operator="containsText" text="Pesquisa de Preços">
      <formula>NOT(ISERROR(SEARCH("Pesquisa de Preços",E1828)))</formula>
    </cfRule>
  </conditionalFormatting>
  <conditionalFormatting sqref="E1842">
    <cfRule type="containsText" dxfId="400" priority="1193" operator="containsText" text="Pesquisa de Preços">
      <formula>NOT(ISERROR(SEARCH("Pesquisa de Preços",E1842)))</formula>
    </cfRule>
  </conditionalFormatting>
  <conditionalFormatting sqref="E1841">
    <cfRule type="containsText" dxfId="399" priority="1192" operator="containsText" text="Pesquisa de Preços">
      <formula>NOT(ISERROR(SEARCH("Pesquisa de Preços",E1841)))</formula>
    </cfRule>
  </conditionalFormatting>
  <conditionalFormatting sqref="E1843">
    <cfRule type="containsText" dxfId="398" priority="1191" operator="containsText" text="Pesquisa de Preços">
      <formula>NOT(ISERROR(SEARCH("Pesquisa de Preços",E1843)))</formula>
    </cfRule>
  </conditionalFormatting>
  <conditionalFormatting sqref="E1924">
    <cfRule type="containsText" dxfId="397" priority="1189" operator="containsText" text="Pesquisa de Preços">
      <formula>NOT(ISERROR(SEARCH("Pesquisa de Preços",E1924)))</formula>
    </cfRule>
  </conditionalFormatting>
  <conditionalFormatting sqref="E842">
    <cfRule type="containsText" dxfId="396" priority="1188" operator="containsText" text="Pesquisa de Preços">
      <formula>NOT(ISERROR(SEARCH("Pesquisa de Preços",E842)))</formula>
    </cfRule>
  </conditionalFormatting>
  <conditionalFormatting sqref="E2399">
    <cfRule type="containsText" dxfId="395" priority="1186" operator="containsText" text="Pesquisa de Preços">
      <formula>NOT(ISERROR(SEARCH("Pesquisa de Preços",E2399)))</formula>
    </cfRule>
  </conditionalFormatting>
  <conditionalFormatting sqref="E2259">
    <cfRule type="containsText" dxfId="394" priority="1185" operator="containsText" text="Pesquisa de Preços">
      <formula>NOT(ISERROR(SEARCH("Pesquisa de Preços",E2259)))</formula>
    </cfRule>
  </conditionalFormatting>
  <conditionalFormatting sqref="E2260">
    <cfRule type="containsText" dxfId="393" priority="1184" operator="containsText" text="Pesquisa de Preços">
      <formula>NOT(ISERROR(SEARCH("Pesquisa de Preços",E2260)))</formula>
    </cfRule>
  </conditionalFormatting>
  <conditionalFormatting sqref="E2392">
    <cfRule type="containsText" dxfId="392" priority="1183" operator="containsText" text="Pesquisa de Preços">
      <formula>NOT(ISERROR(SEARCH("Pesquisa de Preços",E2392)))</formula>
    </cfRule>
  </conditionalFormatting>
  <conditionalFormatting sqref="E132">
    <cfRule type="containsText" dxfId="391" priority="1182" operator="containsText" text="Pesquisa de Preços">
      <formula>NOT(ISERROR(SEARCH("Pesquisa de Preços",E132)))</formula>
    </cfRule>
  </conditionalFormatting>
  <conditionalFormatting sqref="E1120">
    <cfRule type="containsText" dxfId="390" priority="1181" operator="containsText" text="Pesquisa de Preços">
      <formula>NOT(ISERROR(SEARCH("Pesquisa de Preços",E1120)))</formula>
    </cfRule>
  </conditionalFormatting>
  <conditionalFormatting sqref="E1646">
    <cfRule type="containsText" dxfId="389" priority="1180" operator="containsText" text="Pesquisa de Preços">
      <formula>NOT(ISERROR(SEARCH("Pesquisa de Preços",E1646)))</formula>
    </cfRule>
  </conditionalFormatting>
  <conditionalFormatting sqref="E1645">
    <cfRule type="containsText" dxfId="388" priority="1179" operator="containsText" text="Pesquisa de Preços">
      <formula>NOT(ISERROR(SEARCH("Pesquisa de Preços",E1645)))</formula>
    </cfRule>
  </conditionalFormatting>
  <conditionalFormatting sqref="E321">
    <cfRule type="containsText" dxfId="387" priority="1178" operator="containsText" text="Pesquisa de Preços">
      <formula>NOT(ISERROR(SEARCH("Pesquisa de Preços",E321)))</formula>
    </cfRule>
  </conditionalFormatting>
  <conditionalFormatting sqref="E1959">
    <cfRule type="containsText" dxfId="386" priority="1155" operator="containsText" text="Pesquisa de Preços">
      <formula>NOT(ISERROR(SEARCH("Pesquisa de Preços",E1959)))</formula>
    </cfRule>
  </conditionalFormatting>
  <conditionalFormatting sqref="E1962">
    <cfRule type="containsText" dxfId="385" priority="1154" operator="containsText" text="Pesquisa de Preços">
      <formula>NOT(ISERROR(SEARCH("Pesquisa de Preços",E1962)))</formula>
    </cfRule>
  </conditionalFormatting>
  <conditionalFormatting sqref="E80">
    <cfRule type="containsText" dxfId="384" priority="1177" operator="containsText" text="Pesquisa de Preços">
      <formula>NOT(ISERROR(SEARCH("Pesquisa de Preços",E80)))</formula>
    </cfRule>
  </conditionalFormatting>
  <conditionalFormatting sqref="E1137">
    <cfRule type="containsText" dxfId="383" priority="1176" operator="containsText" text="Pesquisa de Preços">
      <formula>NOT(ISERROR(SEARCH("Pesquisa de Preços",E1137)))</formula>
    </cfRule>
  </conditionalFormatting>
  <conditionalFormatting sqref="E1136">
    <cfRule type="containsText" dxfId="382" priority="1175" operator="containsText" text="Pesquisa de Preços">
      <formula>NOT(ISERROR(SEARCH("Pesquisa de Preços",E1136)))</formula>
    </cfRule>
  </conditionalFormatting>
  <conditionalFormatting sqref="E1135">
    <cfRule type="containsText" dxfId="381" priority="1174" operator="containsText" text="Pesquisa de Preços">
      <formula>NOT(ISERROR(SEARCH("Pesquisa de Preços",E1135)))</formula>
    </cfRule>
  </conditionalFormatting>
  <conditionalFormatting sqref="E402:E412">
    <cfRule type="containsText" dxfId="380" priority="1173" operator="containsText" text="Pesquisa de Preços">
      <formula>NOT(ISERROR(SEARCH("Pesquisa de Preços",E402)))</formula>
    </cfRule>
  </conditionalFormatting>
  <conditionalFormatting sqref="E2136:E2137">
    <cfRule type="containsText" dxfId="379" priority="1153" operator="containsText" text="Pesquisa de Preços">
      <formula>NOT(ISERROR(SEARCH("Pesquisa de Preços",E2136)))</formula>
    </cfRule>
  </conditionalFormatting>
  <conditionalFormatting sqref="E194">
    <cfRule type="containsText" dxfId="378" priority="1172" operator="containsText" text="Pesquisa de Preços">
      <formula>NOT(ISERROR(SEARCH("Pesquisa de Preços",E194)))</formula>
    </cfRule>
  </conditionalFormatting>
  <conditionalFormatting sqref="E835:E839">
    <cfRule type="containsText" dxfId="377" priority="1171" operator="containsText" text="Pesquisa de Preços">
      <formula>NOT(ISERROR(SEARCH("Pesquisa de Preços",E835)))</formula>
    </cfRule>
  </conditionalFormatting>
  <conditionalFormatting sqref="E835:E839">
    <cfRule type="containsText" dxfId="376" priority="1170" operator="containsText" text="Pesquisa de Preços">
      <formula>NOT(ISERROR(SEARCH("Pesquisa de Preços",E835)))</formula>
    </cfRule>
  </conditionalFormatting>
  <conditionalFormatting sqref="E1934">
    <cfRule type="containsText" dxfId="375" priority="1169" operator="containsText" text="Pesquisa de Preços">
      <formula>NOT(ISERROR(SEARCH("Pesquisa de Preços",E1934)))</formula>
    </cfRule>
  </conditionalFormatting>
  <conditionalFormatting sqref="E1935">
    <cfRule type="containsText" dxfId="374" priority="1168" operator="containsText" text="Pesquisa de Preços">
      <formula>NOT(ISERROR(SEARCH("Pesquisa de Preços",E1935)))</formula>
    </cfRule>
  </conditionalFormatting>
  <conditionalFormatting sqref="E813">
    <cfRule type="containsText" dxfId="373" priority="1167" operator="containsText" text="Pesquisa de Preços">
      <formula>NOT(ISERROR(SEARCH("Pesquisa de Preços",E813)))</formula>
    </cfRule>
  </conditionalFormatting>
  <conditionalFormatting sqref="E770">
    <cfRule type="containsText" dxfId="372" priority="1166" operator="containsText" text="Pesquisa de Preços">
      <formula>NOT(ISERROR(SEARCH("Pesquisa de Preços",E770)))</formula>
    </cfRule>
  </conditionalFormatting>
  <conditionalFormatting sqref="E769">
    <cfRule type="containsText" dxfId="371" priority="1165" operator="containsText" text="Pesquisa de Preços">
      <formula>NOT(ISERROR(SEARCH("Pesquisa de Preços",E769)))</formula>
    </cfRule>
  </conditionalFormatting>
  <conditionalFormatting sqref="E853">
    <cfRule type="containsText" dxfId="370" priority="1164" operator="containsText" text="Pesquisa de Preços">
      <formula>NOT(ISERROR(SEARCH("Pesquisa de Preços",E853)))</formula>
    </cfRule>
  </conditionalFormatting>
  <conditionalFormatting sqref="E874:E875">
    <cfRule type="containsText" dxfId="369" priority="1163" operator="containsText" text="Pesquisa de Preços">
      <formula>NOT(ISERROR(SEARCH("Pesquisa de Preços",E874)))</formula>
    </cfRule>
  </conditionalFormatting>
  <conditionalFormatting sqref="E2163">
    <cfRule type="containsText" dxfId="368" priority="1152" operator="containsText" text="Pesquisa de Preços">
      <formula>NOT(ISERROR(SEARCH("Pesquisa de Preços",E2163)))</formula>
    </cfRule>
  </conditionalFormatting>
  <conditionalFormatting sqref="E872">
    <cfRule type="containsText" dxfId="367" priority="1162" operator="containsText" text="Pesquisa de Preços">
      <formula>NOT(ISERROR(SEARCH("Pesquisa de Preços",E872)))</formula>
    </cfRule>
  </conditionalFormatting>
  <conditionalFormatting sqref="E895">
    <cfRule type="containsText" dxfId="366" priority="1161" operator="containsText" text="Pesquisa de Preços">
      <formula>NOT(ISERROR(SEARCH("Pesquisa de Preços",E895)))</formula>
    </cfRule>
  </conditionalFormatting>
  <conditionalFormatting sqref="E170">
    <cfRule type="containsText" dxfId="365" priority="1150" operator="containsText" text="Pesquisa de Preços">
      <formula>NOT(ISERROR(SEARCH("Pesquisa de Preços",E170)))</formula>
    </cfRule>
  </conditionalFormatting>
  <conditionalFormatting sqref="E171:E172">
    <cfRule type="containsText" dxfId="364" priority="1151" operator="containsText" text="Pesquisa de Preços">
      <formula>NOT(ISERROR(SEARCH("Pesquisa de Preços",E171)))</formula>
    </cfRule>
  </conditionalFormatting>
  <conditionalFormatting sqref="D2756">
    <cfRule type="containsText" dxfId="363" priority="1129" operator="containsText" text="Pesquisa de Preços">
      <formula>NOT(ISERROR(SEARCH("Pesquisa de Preços",D2756)))</formula>
    </cfRule>
  </conditionalFormatting>
  <conditionalFormatting sqref="D2761">
    <cfRule type="containsText" dxfId="362" priority="1125" operator="containsText" text="Pesquisa de Preços">
      <formula>NOT(ISERROR(SEARCH("Pesquisa de Preços",D2761)))</formula>
    </cfRule>
  </conditionalFormatting>
  <conditionalFormatting sqref="D4634">
    <cfRule type="containsText" dxfId="361" priority="1103" operator="containsText" text="Pesquisa de Preços">
      <formula>NOT(ISERROR(SEARCH("Pesquisa de Preços",D4634)))</formula>
    </cfRule>
  </conditionalFormatting>
  <conditionalFormatting sqref="D4644">
    <cfRule type="containsText" dxfId="360" priority="1095" operator="containsText" text="Pesquisa de Preços">
      <formula>NOT(ISERROR(SEARCH("Pesquisa de Preços",D4644)))</formula>
    </cfRule>
  </conditionalFormatting>
  <conditionalFormatting sqref="D4654">
    <cfRule type="containsText" dxfId="359" priority="1079" operator="containsText" text="Pesquisa de Preços">
      <formula>NOT(ISERROR(SEARCH("Pesquisa de Preços",D4654)))</formula>
    </cfRule>
  </conditionalFormatting>
  <conditionalFormatting sqref="D4659">
    <cfRule type="containsText" dxfId="358" priority="1049" operator="containsText" text="Pesquisa de Preços">
      <formula>NOT(ISERROR(SEARCH("Pesquisa de Preços",D4659)))</formula>
    </cfRule>
  </conditionalFormatting>
  <conditionalFormatting sqref="D4664">
    <cfRule type="containsText" dxfId="357" priority="1045" operator="containsText" text="Pesquisa de Preços">
      <formula>NOT(ISERROR(SEARCH("Pesquisa de Preços",D4664)))</formula>
    </cfRule>
  </conditionalFormatting>
  <conditionalFormatting sqref="D4734:D4735 D4742">
    <cfRule type="containsText" dxfId="356" priority="992" operator="containsText" text="Pesquisa de Preços">
      <formula>NOT(ISERROR(SEARCH("Pesquisa de Preços",D4734)))</formula>
    </cfRule>
  </conditionalFormatting>
  <conditionalFormatting sqref="D4669">
    <cfRule type="containsText" dxfId="355" priority="1041" operator="containsText" text="Pesquisa de Preços">
      <formula>NOT(ISERROR(SEARCH("Pesquisa de Preços",D4669)))</formula>
    </cfRule>
  </conditionalFormatting>
  <conditionalFormatting sqref="E4737:E4740">
    <cfRule type="containsText" dxfId="354" priority="988" operator="containsText" text="Pesquisa de Preços">
      <formula>NOT(ISERROR(SEARCH("Pesquisa de Preços",E4737)))</formula>
    </cfRule>
  </conditionalFormatting>
  <conditionalFormatting sqref="D4677">
    <cfRule type="containsText" dxfId="353" priority="1037" operator="containsText" text="Pesquisa de Preços">
      <formula>NOT(ISERROR(SEARCH("Pesquisa de Preços",D4677)))</formula>
    </cfRule>
  </conditionalFormatting>
  <conditionalFormatting sqref="D4743">
    <cfRule type="containsText" dxfId="352" priority="984" operator="containsText" text="Pesquisa de Preços">
      <formula>NOT(ISERROR(SEARCH("Pesquisa de Preços",D4743)))</formula>
    </cfRule>
  </conditionalFormatting>
  <conditionalFormatting sqref="D4685">
    <cfRule type="containsText" dxfId="351" priority="1033" operator="containsText" text="Pesquisa de Preços">
      <formula>NOT(ISERROR(SEARCH("Pesquisa de Preços",D4685)))</formula>
    </cfRule>
  </conditionalFormatting>
  <conditionalFormatting sqref="E4743">
    <cfRule type="containsText" dxfId="350" priority="980" operator="containsText" text="Pesquisa de Preços">
      <formula>NOT(ISERROR(SEARCH("Pesquisa de Preços",E4743)))</formula>
    </cfRule>
  </conditionalFormatting>
  <conditionalFormatting sqref="D4693">
    <cfRule type="containsText" dxfId="349" priority="1029" operator="containsText" text="Pesquisa de Preços">
      <formula>NOT(ISERROR(SEARCH("Pesquisa de Preços",D4693)))</formula>
    </cfRule>
  </conditionalFormatting>
  <conditionalFormatting sqref="E4747:E4748">
    <cfRule type="containsText" dxfId="348" priority="976" operator="containsText" text="Pesquisa de Preços">
      <formula>NOT(ISERROR(SEARCH("Pesquisa de Preços",E4747)))</formula>
    </cfRule>
  </conditionalFormatting>
  <conditionalFormatting sqref="D4701">
    <cfRule type="containsText" dxfId="347" priority="1025" operator="containsText" text="Pesquisa de Preços">
      <formula>NOT(ISERROR(SEARCH("Pesquisa de Preços",D4701)))</formula>
    </cfRule>
  </conditionalFormatting>
  <conditionalFormatting sqref="D4751">
    <cfRule type="containsText" dxfId="346" priority="972" operator="containsText" text="Pesquisa de Preços">
      <formula>NOT(ISERROR(SEARCH("Pesquisa de Preços",D4751)))</formula>
    </cfRule>
  </conditionalFormatting>
  <conditionalFormatting sqref="D4709">
    <cfRule type="containsText" dxfId="345" priority="1021" operator="containsText" text="Pesquisa de Preços">
      <formula>NOT(ISERROR(SEARCH("Pesquisa de Preços",D4709)))</formula>
    </cfRule>
  </conditionalFormatting>
  <conditionalFormatting sqref="D4758">
    <cfRule type="containsText" dxfId="344" priority="968" operator="containsText" text="Pesquisa de Preços">
      <formula>NOT(ISERROR(SEARCH("Pesquisa de Preços",D4758)))</formula>
    </cfRule>
  </conditionalFormatting>
  <conditionalFormatting sqref="D4717">
    <cfRule type="containsText" dxfId="343" priority="1017" operator="containsText" text="Pesquisa de Preços">
      <formula>NOT(ISERROR(SEARCH("Pesquisa de Preços",D4717)))</formula>
    </cfRule>
  </conditionalFormatting>
  <conditionalFormatting sqref="D4725">
    <cfRule type="containsText" dxfId="342" priority="1013" operator="containsText" text="Pesquisa de Preços">
      <formula>NOT(ISERROR(SEARCH("Pesquisa de Preços",D4725)))</formula>
    </cfRule>
  </conditionalFormatting>
  <conditionalFormatting sqref="D4733">
    <cfRule type="containsText" dxfId="341" priority="993" operator="containsText" text="Pesquisa de Preços">
      <formula>NOT(ISERROR(SEARCH("Pesquisa de Preços",D4733)))</formula>
    </cfRule>
  </conditionalFormatting>
  <conditionalFormatting sqref="D4765">
    <cfRule type="containsText" dxfId="340" priority="964" operator="containsText" text="Pesquisa de Preços">
      <formula>NOT(ISERROR(SEARCH("Pesquisa de Preços",D4765)))</formula>
    </cfRule>
  </conditionalFormatting>
  <conditionalFormatting sqref="D4737:D4739">
    <cfRule type="containsText" dxfId="339" priority="991" operator="containsText" text="Pesquisa de Preços">
      <formula>NOT(ISERROR(SEARCH("Pesquisa de Preços",D4737)))</formula>
    </cfRule>
  </conditionalFormatting>
  <conditionalFormatting sqref="E4733">
    <cfRule type="containsText" dxfId="338" priority="989" operator="containsText" text="Pesquisa de Preços">
      <formula>NOT(ISERROR(SEARCH("Pesquisa de Preços",E4733)))</formula>
    </cfRule>
  </conditionalFormatting>
  <conditionalFormatting sqref="E4734:E4735 E4742">
    <cfRule type="containsText" dxfId="337" priority="990" operator="containsText" text="Pesquisa de Preços">
      <formula>NOT(ISERROR(SEARCH("Pesquisa de Preços",E4734)))</formula>
    </cfRule>
  </conditionalFormatting>
  <conditionalFormatting sqref="D4744:D4745 D4750">
    <cfRule type="containsText" dxfId="336" priority="983" operator="containsText" text="Pesquisa de Preços">
      <formula>NOT(ISERROR(SEARCH("Pesquisa de Preços",D4744)))</formula>
    </cfRule>
  </conditionalFormatting>
  <conditionalFormatting sqref="E4744:E4745 E4750">
    <cfRule type="containsText" dxfId="335" priority="981" operator="containsText" text="Pesquisa de Preços">
      <formula>NOT(ISERROR(SEARCH("Pesquisa de Preços",E4744)))</formula>
    </cfRule>
  </conditionalFormatting>
  <conditionalFormatting sqref="E1042">
    <cfRule type="containsText" dxfId="334" priority="975" operator="containsText" text="Pesquisa de Preços">
      <formula>NOT(ISERROR(SEARCH("Pesquisa de Preços",E1042)))</formula>
    </cfRule>
  </conditionalFormatting>
  <conditionalFormatting sqref="E1043">
    <cfRule type="containsText" dxfId="333" priority="974" operator="containsText" text="Pesquisa de Preços">
      <formula>NOT(ISERROR(SEARCH("Pesquisa de Preços",E1043)))</formula>
    </cfRule>
  </conditionalFormatting>
  <conditionalFormatting sqref="E4813:E4814 E4818">
    <cfRule type="containsText" dxfId="332" priority="923" operator="containsText" text="Pesquisa de Preços">
      <formula>NOT(ISERROR(SEARCH("Pesquisa de Preços",E4813)))</formula>
    </cfRule>
  </conditionalFormatting>
  <conditionalFormatting sqref="E4792:E4793 E4797">
    <cfRule type="containsText" dxfId="331" priority="944" operator="containsText" text="Pesquisa de Preços">
      <formula>NOT(ISERROR(SEARCH("Pesquisa de Preços",E4792)))</formula>
    </cfRule>
  </conditionalFormatting>
  <conditionalFormatting sqref="E4791">
    <cfRule type="containsText" dxfId="330" priority="943" operator="containsText" text="Pesquisa de Preços">
      <formula>NOT(ISERROR(SEARCH("Pesquisa de Preços",E4791)))</formula>
    </cfRule>
  </conditionalFormatting>
  <conditionalFormatting sqref="D4792:D4793 D4796:D4797">
    <cfRule type="containsText" dxfId="329" priority="945" operator="containsText" text="Pesquisa de Preços">
      <formula>NOT(ISERROR(SEARCH("Pesquisa de Preços",D4792)))</formula>
    </cfRule>
  </conditionalFormatting>
  <conditionalFormatting sqref="D4772">
    <cfRule type="containsText" dxfId="328" priority="960" operator="containsText" text="Pesquisa de Preços">
      <formula>NOT(ISERROR(SEARCH("Pesquisa de Preços",D4772)))</formula>
    </cfRule>
  </conditionalFormatting>
  <conditionalFormatting sqref="D4821">
    <cfRule type="containsText" dxfId="327" priority="907" operator="containsText" text="Pesquisa de Preços">
      <formula>NOT(ISERROR(SEARCH("Pesquisa de Preços",D4821)))</formula>
    </cfRule>
  </conditionalFormatting>
  <conditionalFormatting sqref="D4779">
    <cfRule type="containsText" dxfId="326" priority="956" operator="containsText" text="Pesquisa de Preços">
      <formula>NOT(ISERROR(SEARCH("Pesquisa de Preços",D4779)))</formula>
    </cfRule>
  </conditionalFormatting>
  <conditionalFormatting sqref="E4799:E4800 E4804">
    <cfRule type="containsText" dxfId="325" priority="937" operator="containsText" text="Pesquisa de Preços">
      <formula>NOT(ISERROR(SEARCH("Pesquisa de Preços",E4799)))</formula>
    </cfRule>
  </conditionalFormatting>
  <conditionalFormatting sqref="D4786">
    <cfRule type="containsText" dxfId="324" priority="952" operator="containsText" text="Pesquisa de Preços">
      <formula>NOT(ISERROR(SEARCH("Pesquisa de Preços",D4786)))</formula>
    </cfRule>
  </conditionalFormatting>
  <conditionalFormatting sqref="D4791">
    <cfRule type="containsText" dxfId="323" priority="946" operator="containsText" text="Pesquisa de Preços">
      <formula>NOT(ISERROR(SEARCH("Pesquisa de Preços",D4791)))</formula>
    </cfRule>
  </conditionalFormatting>
  <conditionalFormatting sqref="D4798">
    <cfRule type="containsText" dxfId="322" priority="939" operator="containsText" text="Pesquisa de Preços">
      <formula>NOT(ISERROR(SEARCH("Pesquisa de Preços",D4798)))</formula>
    </cfRule>
  </conditionalFormatting>
  <conditionalFormatting sqref="D4813:D4814 D4817:D4818">
    <cfRule type="containsText" dxfId="321" priority="924" operator="containsText" text="Pesquisa de Preços">
      <formula>NOT(ISERROR(SEARCH("Pesquisa de Preços",D4813)))</formula>
    </cfRule>
  </conditionalFormatting>
  <conditionalFormatting sqref="D4799:D4800 D4803:D4804">
    <cfRule type="containsText" dxfId="320" priority="938" operator="containsText" text="Pesquisa de Preços">
      <formula>NOT(ISERROR(SEARCH("Pesquisa de Preços",D4799)))</formula>
    </cfRule>
  </conditionalFormatting>
  <conditionalFormatting sqref="E4798">
    <cfRule type="containsText" dxfId="319" priority="936" operator="containsText" text="Pesquisa de Preços">
      <formula>NOT(ISERROR(SEARCH("Pesquisa de Preços",E4798)))</formula>
    </cfRule>
  </conditionalFormatting>
  <conditionalFormatting sqref="D4806:D4807 D4810:D4811">
    <cfRule type="containsText" dxfId="318" priority="931" operator="containsText" text="Pesquisa de Preços">
      <formula>NOT(ISERROR(SEARCH("Pesquisa de Preços",D4806)))</formula>
    </cfRule>
  </conditionalFormatting>
  <conditionalFormatting sqref="D4805">
    <cfRule type="containsText" dxfId="317" priority="932" operator="containsText" text="Pesquisa de Preços">
      <formula>NOT(ISERROR(SEARCH("Pesquisa de Preços",D4805)))</formula>
    </cfRule>
  </conditionalFormatting>
  <conditionalFormatting sqref="E4805">
    <cfRule type="containsText" dxfId="316" priority="929" operator="containsText" text="Pesquisa de Preços">
      <formula>NOT(ISERROR(SEARCH("Pesquisa de Preços",E4805)))</formula>
    </cfRule>
  </conditionalFormatting>
  <conditionalFormatting sqref="E4806:E4807 E4811">
    <cfRule type="containsText" dxfId="315" priority="930" operator="containsText" text="Pesquisa de Preços">
      <formula>NOT(ISERROR(SEARCH("Pesquisa de Preços",E4806)))</formula>
    </cfRule>
  </conditionalFormatting>
  <conditionalFormatting sqref="E4855">
    <cfRule type="containsText" dxfId="314" priority="876" operator="containsText" text="Pesquisa de Preços">
      <formula>NOT(ISERROR(SEARCH("Pesquisa de Preços",E4855)))</formula>
    </cfRule>
  </conditionalFormatting>
  <conditionalFormatting sqref="D4812">
    <cfRule type="containsText" dxfId="313" priority="925" operator="containsText" text="Pesquisa de Preços">
      <formula>NOT(ISERROR(SEARCH("Pesquisa de Preços",D4812)))</formula>
    </cfRule>
  </conditionalFormatting>
  <conditionalFormatting sqref="E4812">
    <cfRule type="containsText" dxfId="312" priority="922" operator="containsText" text="Pesquisa de Preços">
      <formula>NOT(ISERROR(SEARCH("Pesquisa de Preços",E4812)))</formula>
    </cfRule>
  </conditionalFormatting>
  <conditionalFormatting sqref="D4843">
    <cfRule type="containsText" dxfId="311" priority="901" operator="containsText" text="Pesquisa de Preços">
      <formula>NOT(ISERROR(SEARCH("Pesquisa de Preços",D4843)))</formula>
    </cfRule>
  </conditionalFormatting>
  <conditionalFormatting sqref="D4819">
    <cfRule type="containsText" dxfId="310" priority="916" operator="containsText" text="Pesquisa de Preços">
      <formula>NOT(ISERROR(SEARCH("Pesquisa de Preços",D4819)))</formula>
    </cfRule>
  </conditionalFormatting>
  <conditionalFormatting sqref="D4822">
    <cfRule type="containsText" dxfId="309" priority="909" operator="containsText" text="Pesquisa de Preços">
      <formula>NOT(ISERROR(SEARCH("Pesquisa de Preços",D4822)))</formula>
    </cfRule>
  </conditionalFormatting>
  <conditionalFormatting sqref="E4849 E4854">
    <cfRule type="containsText" dxfId="308" priority="886" operator="containsText" text="Pesquisa de Preços">
      <formula>NOT(ISERROR(SEARCH("Pesquisa de Preços",E4849)))</formula>
    </cfRule>
  </conditionalFormatting>
  <conditionalFormatting sqref="E4821">
    <cfRule type="containsText" dxfId="307" priority="906" operator="containsText" text="Pesquisa de Preços">
      <formula>NOT(ISERROR(SEARCH("Pesquisa de Preços",E4821)))</formula>
    </cfRule>
  </conditionalFormatting>
  <conditionalFormatting sqref="D4849 D4853:D4854">
    <cfRule type="containsText" dxfId="306" priority="887" operator="containsText" text="Pesquisa de Preços">
      <formula>NOT(ISERROR(SEARCH("Pesquisa de Preços",D4849)))</formula>
    </cfRule>
  </conditionalFormatting>
  <conditionalFormatting sqref="D4824 D4830 D4836 D4842">
    <cfRule type="containsText" dxfId="305" priority="902" operator="containsText" text="Pesquisa de Preços">
      <formula>NOT(ISERROR(SEARCH("Pesquisa de Preços",D4824)))</formula>
    </cfRule>
  </conditionalFormatting>
  <conditionalFormatting sqref="D4845:D4846">
    <cfRule type="containsText" dxfId="304" priority="900" operator="containsText" text="Pesquisa de Preços">
      <formula>NOT(ISERROR(SEARCH("Pesquisa de Preços",D4845)))</formula>
    </cfRule>
  </conditionalFormatting>
  <conditionalFormatting sqref="E4837 E4841">
    <cfRule type="containsText" dxfId="303" priority="895" operator="containsText" text="Pesquisa de Preços">
      <formula>NOT(ISERROR(SEARCH("Pesquisa de Preços",E4837)))</formula>
    </cfRule>
  </conditionalFormatting>
  <conditionalFormatting sqref="D4837 D4841">
    <cfRule type="containsText" dxfId="302" priority="899" operator="containsText" text="Pesquisa de Preços">
      <formula>NOT(ISERROR(SEARCH("Pesquisa de Preços",D4837)))</formula>
    </cfRule>
  </conditionalFormatting>
  <conditionalFormatting sqref="E4836">
    <cfRule type="containsText" dxfId="301" priority="894" operator="containsText" text="Pesquisa de Preços">
      <formula>NOT(ISERROR(SEARCH("Pesquisa de Preços",E4836)))</formula>
    </cfRule>
  </conditionalFormatting>
  <conditionalFormatting sqref="E4845:E4846">
    <cfRule type="containsText" dxfId="300" priority="896" operator="containsText" text="Pesquisa de Preços">
      <formula>NOT(ISERROR(SEARCH("Pesquisa de Preços",E4845)))</formula>
    </cfRule>
  </conditionalFormatting>
  <conditionalFormatting sqref="E4842">
    <cfRule type="containsText" dxfId="299" priority="897" operator="containsText" text="Pesquisa de Preços">
      <formula>NOT(ISERROR(SEARCH("Pesquisa de Preços",E4842)))</formula>
    </cfRule>
  </conditionalFormatting>
  <conditionalFormatting sqref="E4843">
    <cfRule type="containsText" dxfId="298" priority="898" operator="containsText" text="Pesquisa de Preços">
      <formula>NOT(ISERROR(SEARCH("Pesquisa de Preços",E4843)))</formula>
    </cfRule>
  </conditionalFormatting>
  <conditionalFormatting sqref="D4848">
    <cfRule type="containsText" dxfId="297" priority="888" operator="containsText" text="Pesquisa de Preços">
      <formula>NOT(ISERROR(SEARCH("Pesquisa de Preços",D4848)))</formula>
    </cfRule>
  </conditionalFormatting>
  <conditionalFormatting sqref="E4848">
    <cfRule type="containsText" dxfId="296" priority="885" operator="containsText" text="Pesquisa de Preços">
      <formula>NOT(ISERROR(SEARCH("Pesquisa de Preços",E4848)))</formula>
    </cfRule>
  </conditionalFormatting>
  <conditionalFormatting sqref="E4868">
    <cfRule type="containsText" dxfId="295" priority="858" operator="containsText" text="Pesquisa de Preços">
      <formula>NOT(ISERROR(SEARCH("Pesquisa de Preços",E4868)))</formula>
    </cfRule>
  </conditionalFormatting>
  <conditionalFormatting sqref="D4855">
    <cfRule type="containsText" dxfId="294" priority="879" operator="containsText" text="Pesquisa de Preços">
      <formula>NOT(ISERROR(SEARCH("Pesquisa de Preços",D4855)))</formula>
    </cfRule>
  </conditionalFormatting>
  <conditionalFormatting sqref="D4856">
    <cfRule type="containsText" dxfId="293" priority="878" operator="containsText" text="Pesquisa de Preços">
      <formula>NOT(ISERROR(SEARCH("Pesquisa de Preços",D4856)))</formula>
    </cfRule>
  </conditionalFormatting>
  <conditionalFormatting sqref="E4856:E4857 E4859">
    <cfRule type="containsText" dxfId="292" priority="877" operator="containsText" text="Pesquisa de Preços">
      <formula>NOT(ISERROR(SEARCH("Pesquisa de Preços",E4856)))</formula>
    </cfRule>
  </conditionalFormatting>
  <conditionalFormatting sqref="D4851">
    <cfRule type="containsText" dxfId="291" priority="849" operator="containsText" text="Pesquisa de Preços">
      <formula>NOT(ISERROR(SEARCH("Pesquisa de Preços",D4851)))</formula>
    </cfRule>
  </conditionalFormatting>
  <conditionalFormatting sqref="D4868">
    <cfRule type="containsText" dxfId="290" priority="861" operator="containsText" text="Pesquisa de Preços">
      <formula>NOT(ISERROR(SEARCH("Pesquisa de Preços",D4868)))</formula>
    </cfRule>
  </conditionalFormatting>
  <conditionalFormatting sqref="D4869:D4870">
    <cfRule type="containsText" dxfId="289" priority="860" operator="containsText" text="Pesquisa de Preços">
      <formula>NOT(ISERROR(SEARCH("Pesquisa de Preços",D4869)))</formula>
    </cfRule>
  </conditionalFormatting>
  <conditionalFormatting sqref="E4869:E4870 E4873">
    <cfRule type="containsText" dxfId="288" priority="859" operator="containsText" text="Pesquisa de Preços">
      <formula>NOT(ISERROR(SEARCH("Pesquisa de Preços",E4869)))</formula>
    </cfRule>
  </conditionalFormatting>
  <conditionalFormatting sqref="D4860">
    <cfRule type="containsText" dxfId="287" priority="854" operator="containsText" text="Pesquisa de Preços">
      <formula>NOT(ISERROR(SEARCH("Pesquisa de Preços",D4860)))</formula>
    </cfRule>
  </conditionalFormatting>
  <conditionalFormatting sqref="D4877">
    <cfRule type="containsText" dxfId="286" priority="848" operator="containsText" text="Pesquisa de Preços">
      <formula>NOT(ISERROR(SEARCH("Pesquisa de Preços",D4877)))</formula>
    </cfRule>
  </conditionalFormatting>
  <conditionalFormatting sqref="D4874">
    <cfRule type="containsText" dxfId="285" priority="843" operator="containsText" text="Pesquisa de Preços">
      <formula>NOT(ISERROR(SEARCH("Pesquisa de Preços",D4874)))</formula>
    </cfRule>
  </conditionalFormatting>
  <conditionalFormatting sqref="D4875">
    <cfRule type="containsText" dxfId="284" priority="842" operator="containsText" text="Pesquisa de Preços">
      <formula>NOT(ISERROR(SEARCH("Pesquisa de Preços",D4875)))</formula>
    </cfRule>
  </conditionalFormatting>
  <conditionalFormatting sqref="E4874">
    <cfRule type="containsText" dxfId="283" priority="840" operator="containsText" text="Pesquisa de Preços">
      <formula>NOT(ISERROR(SEARCH("Pesquisa de Preços",E4874)))</formula>
    </cfRule>
  </conditionalFormatting>
  <conditionalFormatting sqref="E4875:E4877">
    <cfRule type="containsText" dxfId="282" priority="841" operator="containsText" text="Pesquisa de Preços">
      <formula>NOT(ISERROR(SEARCH("Pesquisa de Preços",E4875)))</formula>
    </cfRule>
  </conditionalFormatting>
  <conditionalFormatting sqref="D4883">
    <cfRule type="containsText" dxfId="281" priority="837" operator="containsText" text="Pesquisa de Preços">
      <formula>NOT(ISERROR(SEARCH("Pesquisa de Preços",D4883)))</formula>
    </cfRule>
  </conditionalFormatting>
  <conditionalFormatting sqref="D4878">
    <cfRule type="containsText" dxfId="280" priority="832" operator="containsText" text="Pesquisa de Preços">
      <formula>NOT(ISERROR(SEARCH("Pesquisa de Preços",D4878)))</formula>
    </cfRule>
  </conditionalFormatting>
  <conditionalFormatting sqref="D4879:D4880">
    <cfRule type="containsText" dxfId="279" priority="831" operator="containsText" text="Pesquisa de Preços">
      <formula>NOT(ISERROR(SEARCH("Pesquisa de Preços",D4879)))</formula>
    </cfRule>
  </conditionalFormatting>
  <conditionalFormatting sqref="E4878">
    <cfRule type="containsText" dxfId="278" priority="829" operator="containsText" text="Pesquisa de Preços">
      <formula>NOT(ISERROR(SEARCH("Pesquisa de Preços",E4878)))</formula>
    </cfRule>
  </conditionalFormatting>
  <conditionalFormatting sqref="E4879:E4880 E4883">
    <cfRule type="containsText" dxfId="277" priority="830" operator="containsText" text="Pesquisa de Preços">
      <formula>NOT(ISERROR(SEARCH("Pesquisa de Preços",E4879)))</formula>
    </cfRule>
  </conditionalFormatting>
  <conditionalFormatting sqref="E4884">
    <cfRule type="containsText" dxfId="276" priority="807" operator="containsText" text="Pesquisa de Preços">
      <formula>NOT(ISERROR(SEARCH("Pesquisa de Preços",E4884)))</formula>
    </cfRule>
  </conditionalFormatting>
  <conditionalFormatting sqref="D4890">
    <cfRule type="containsText" dxfId="275" priority="801" operator="containsText" text="Pesquisa de Preços">
      <formula>NOT(ISERROR(SEARCH("Pesquisa de Preços",D4890)))</formula>
    </cfRule>
  </conditionalFormatting>
  <conditionalFormatting sqref="E4891:E4892 E4896">
    <cfRule type="containsText" dxfId="274" priority="799" operator="containsText" text="Pesquisa de Preços">
      <formula>NOT(ISERROR(SEARCH("Pesquisa de Preços",E4891)))</formula>
    </cfRule>
  </conditionalFormatting>
  <conditionalFormatting sqref="D4891:D4892 D4896">
    <cfRule type="containsText" dxfId="273" priority="800" operator="containsText" text="Pesquisa de Preços">
      <formula>NOT(ISERROR(SEARCH("Pesquisa de Preços",D4891)))</formula>
    </cfRule>
  </conditionalFormatting>
  <conditionalFormatting sqref="D4889">
    <cfRule type="containsText" dxfId="272" priority="815" operator="containsText" text="Pesquisa de Preços">
      <formula>NOT(ISERROR(SEARCH("Pesquisa de Preços",D4889)))</formula>
    </cfRule>
  </conditionalFormatting>
  <conditionalFormatting sqref="D4884">
    <cfRule type="containsText" dxfId="271" priority="810" operator="containsText" text="Pesquisa de Preços">
      <formula>NOT(ISERROR(SEARCH("Pesquisa de Preços",D4884)))</formula>
    </cfRule>
  </conditionalFormatting>
  <conditionalFormatting sqref="D4885:D4886">
    <cfRule type="containsText" dxfId="270" priority="809" operator="containsText" text="Pesquisa de Preços">
      <formula>NOT(ISERROR(SEARCH("Pesquisa de Preços",D4885)))</formula>
    </cfRule>
  </conditionalFormatting>
  <conditionalFormatting sqref="E4885:E4886 E4889">
    <cfRule type="containsText" dxfId="269" priority="808" operator="containsText" text="Pesquisa de Preços">
      <formula>NOT(ISERROR(SEARCH("Pesquisa de Preços",E4885)))</formula>
    </cfRule>
  </conditionalFormatting>
  <conditionalFormatting sqref="D4893:D4894 D4892:E4893">
    <cfRule type="containsText" dxfId="268" priority="804" operator="containsText" text="Pesquisa de Preços">
      <formula>NOT(ISERROR(SEARCH("Pesquisa de Preços",D4892)))</formula>
    </cfRule>
  </conditionalFormatting>
  <conditionalFormatting sqref="E4890">
    <cfRule type="containsText" dxfId="267" priority="798" operator="containsText" text="Pesquisa de Preços">
      <formula>NOT(ISERROR(SEARCH("Pesquisa de Preços",E4890)))</formula>
    </cfRule>
  </conditionalFormatting>
  <conditionalFormatting sqref="E4893:E4895">
    <cfRule type="containsText" dxfId="266" priority="797" operator="containsText" text="Pesquisa de Preços">
      <formula>NOT(ISERROR(SEARCH("Pesquisa de Preços",E4893)))</formula>
    </cfRule>
  </conditionalFormatting>
  <conditionalFormatting sqref="E4901">
    <cfRule type="containsText" dxfId="265" priority="780" operator="containsText" text="Pesquisa de Preços">
      <formula>NOT(ISERROR(SEARCH("Pesquisa de Preços",E4901)))</formula>
    </cfRule>
  </conditionalFormatting>
  <conditionalFormatting sqref="D4897">
    <cfRule type="containsText" dxfId="264" priority="792" operator="containsText" text="Pesquisa de Preços">
      <formula>NOT(ISERROR(SEARCH("Pesquisa de Preços",D4897)))</formula>
    </cfRule>
  </conditionalFormatting>
  <conditionalFormatting sqref="E4898 E4903">
    <cfRule type="containsText" dxfId="263" priority="790" operator="containsText" text="Pesquisa de Preços">
      <formula>NOT(ISERROR(SEARCH("Pesquisa de Preços",E4898)))</formula>
    </cfRule>
  </conditionalFormatting>
  <conditionalFormatting sqref="D4898 D4903">
    <cfRule type="containsText" dxfId="262" priority="791" operator="containsText" text="Pesquisa de Preços">
      <formula>NOT(ISERROR(SEARCH("Pesquisa de Preços",D4898)))</formula>
    </cfRule>
  </conditionalFormatting>
  <conditionalFormatting sqref="E4920:E4921">
    <cfRule type="containsText" dxfId="261" priority="739" operator="containsText" text="Pesquisa de Preços">
      <formula>NOT(ISERROR(SEARCH("Pesquisa de Preços",E4920)))</formula>
    </cfRule>
  </conditionalFormatting>
  <conditionalFormatting sqref="E4897">
    <cfRule type="containsText" dxfId="260" priority="789" operator="containsText" text="Pesquisa de Preços">
      <formula>NOT(ISERROR(SEARCH("Pesquisa de Preços",E4897)))</formula>
    </cfRule>
  </conditionalFormatting>
  <conditionalFormatting sqref="E4902">
    <cfRule type="containsText" dxfId="259" priority="788" operator="containsText" text="Pesquisa de Preços">
      <formula>NOT(ISERROR(SEARCH("Pesquisa de Preços",E4902)))</formula>
    </cfRule>
  </conditionalFormatting>
  <conditionalFormatting sqref="D4901">
    <cfRule type="containsText" dxfId="258" priority="781" operator="containsText" text="Pesquisa de Preços">
      <formula>NOT(ISERROR(SEARCH("Pesquisa de Preços",D4901)))</formula>
    </cfRule>
  </conditionalFormatting>
  <conditionalFormatting sqref="D4911">
    <cfRule type="containsText" dxfId="257" priority="774" operator="containsText" text="Pesquisa de Preços">
      <formula>NOT(ISERROR(SEARCH("Pesquisa de Preços",D4911)))</formula>
    </cfRule>
  </conditionalFormatting>
  <conditionalFormatting sqref="D4904">
    <cfRule type="containsText" dxfId="256" priority="778" operator="containsText" text="Pesquisa de Preços">
      <formula>NOT(ISERROR(SEARCH("Pesquisa de Preços",D4904)))</formula>
    </cfRule>
  </conditionalFormatting>
  <conditionalFormatting sqref="D4916">
    <cfRule type="containsText" dxfId="255" priority="769" operator="containsText" text="Pesquisa de Preços">
      <formula>NOT(ISERROR(SEARCH("Pesquisa de Preços",D4916)))</formula>
    </cfRule>
  </conditionalFormatting>
  <conditionalFormatting sqref="D4914">
    <cfRule type="containsText" dxfId="254" priority="766" operator="containsText" text="Pesquisa de Preços">
      <formula>NOT(ISERROR(SEARCH("Pesquisa de Preços",D4914)))</formula>
    </cfRule>
  </conditionalFormatting>
  <conditionalFormatting sqref="D1331">
    <cfRule type="containsText" dxfId="253" priority="762" operator="containsText" text="Pesquisa de Preços">
      <formula>NOT(ISERROR(SEARCH("Pesquisa de Preços",D1331)))</formula>
    </cfRule>
  </conditionalFormatting>
  <conditionalFormatting sqref="E1331">
    <cfRule type="containsText" dxfId="252" priority="761" operator="containsText" text="Pesquisa de Preços">
      <formula>NOT(ISERROR(SEARCH("Pesquisa de Preços",E1331)))</formula>
    </cfRule>
  </conditionalFormatting>
  <conditionalFormatting sqref="E1330">
    <cfRule type="containsText" dxfId="251" priority="760" operator="containsText" text="Pesquisa de Preços">
      <formula>NOT(ISERROR(SEARCH("Pesquisa de Preços",E1330)))</formula>
    </cfRule>
  </conditionalFormatting>
  <conditionalFormatting sqref="D1337">
    <cfRule type="containsText" dxfId="250" priority="756" operator="containsText" text="Pesquisa de Preços">
      <formula>NOT(ISERROR(SEARCH("Pesquisa de Preços",D1337)))</formula>
    </cfRule>
  </conditionalFormatting>
  <conditionalFormatting sqref="E1337">
    <cfRule type="containsText" dxfId="249" priority="755" operator="containsText" text="Pesquisa de Preços">
      <formula>NOT(ISERROR(SEARCH("Pesquisa de Preços",E1337)))</formula>
    </cfRule>
  </conditionalFormatting>
  <conditionalFormatting sqref="E1336">
    <cfRule type="containsText" dxfId="248" priority="754" operator="containsText" text="Pesquisa de Preços">
      <formula>NOT(ISERROR(SEARCH("Pesquisa de Preços",E1336)))</formula>
    </cfRule>
  </conditionalFormatting>
  <conditionalFormatting sqref="D1343">
    <cfRule type="containsText" dxfId="247" priority="750" operator="containsText" text="Pesquisa de Preços">
      <formula>NOT(ISERROR(SEARCH("Pesquisa de Preços",D1343)))</formula>
    </cfRule>
  </conditionalFormatting>
  <conditionalFormatting sqref="E1343">
    <cfRule type="containsText" dxfId="246" priority="749" operator="containsText" text="Pesquisa de Preços">
      <formula>NOT(ISERROR(SEARCH("Pesquisa de Preços",E1343)))</formula>
    </cfRule>
  </conditionalFormatting>
  <conditionalFormatting sqref="E1342">
    <cfRule type="containsText" dxfId="245" priority="748" operator="containsText" text="Pesquisa de Preços">
      <formula>NOT(ISERROR(SEARCH("Pesquisa de Preços",E1342)))</formula>
    </cfRule>
  </conditionalFormatting>
  <conditionalFormatting sqref="D4919 D4925">
    <cfRule type="containsText" dxfId="244" priority="744" operator="containsText" text="Pesquisa de Preços">
      <formula>NOT(ISERROR(SEARCH("Pesquisa de Preços",D4919)))</formula>
    </cfRule>
  </conditionalFormatting>
  <conditionalFormatting sqref="D4920:D4921">
    <cfRule type="containsText" dxfId="243" priority="742" operator="containsText" text="Pesquisa de Preços">
      <formula>NOT(ISERROR(SEARCH("Pesquisa de Preços",D4920)))</formula>
    </cfRule>
  </conditionalFormatting>
  <conditionalFormatting sqref="D4926:D4927">
    <cfRule type="containsText" dxfId="242" priority="743" operator="containsText" text="Pesquisa de Preços">
      <formula>NOT(ISERROR(SEARCH("Pesquisa de Preços",D4926)))</formula>
    </cfRule>
  </conditionalFormatting>
  <conditionalFormatting sqref="E4925">
    <cfRule type="containsText" dxfId="241" priority="740" operator="containsText" text="Pesquisa de Preços">
      <formula>NOT(ISERROR(SEARCH("Pesquisa de Preços",E4925)))</formula>
    </cfRule>
  </conditionalFormatting>
  <conditionalFormatting sqref="E4919">
    <cfRule type="containsText" dxfId="240" priority="738" operator="containsText" text="Pesquisa de Preços">
      <formula>NOT(ISERROR(SEARCH("Pesquisa de Preços",E4919)))</formula>
    </cfRule>
  </conditionalFormatting>
  <conditionalFormatting sqref="E4926:E4927">
    <cfRule type="containsText" dxfId="239" priority="741" operator="containsText" text="Pesquisa de Preços">
      <formula>NOT(ISERROR(SEARCH("Pesquisa de Preços",E4926)))</formula>
    </cfRule>
  </conditionalFormatting>
  <conditionalFormatting sqref="D4929">
    <cfRule type="containsText" dxfId="238" priority="734" operator="containsText" text="Pesquisa de Preços">
      <formula>NOT(ISERROR(SEARCH("Pesquisa de Preços",D4929)))</formula>
    </cfRule>
  </conditionalFormatting>
  <conditionalFormatting sqref="E4929">
    <cfRule type="containsText" dxfId="237" priority="733" operator="containsText" text="Pesquisa de Preços">
      <formula>NOT(ISERROR(SEARCH("Pesquisa de Preços",E4929)))</formula>
    </cfRule>
  </conditionalFormatting>
  <conditionalFormatting sqref="E4928">
    <cfRule type="containsText" dxfId="236" priority="732" operator="containsText" text="Pesquisa de Preços">
      <formula>NOT(ISERROR(SEARCH("Pesquisa de Preços",E4928)))</formula>
    </cfRule>
  </conditionalFormatting>
  <conditionalFormatting sqref="D4923">
    <cfRule type="containsText" dxfId="235" priority="728" operator="containsText" text="Pesquisa de Preços">
      <formula>NOT(ISERROR(SEARCH("Pesquisa de Preços",D4923)))</formula>
    </cfRule>
  </conditionalFormatting>
  <conditionalFormatting sqref="E4923">
    <cfRule type="containsText" dxfId="234" priority="727" operator="containsText" text="Pesquisa de Preços">
      <formula>NOT(ISERROR(SEARCH("Pesquisa de Preços",E4923)))</formula>
    </cfRule>
  </conditionalFormatting>
  <conditionalFormatting sqref="E4922">
    <cfRule type="containsText" dxfId="233" priority="726" operator="containsText" text="Pesquisa de Preços">
      <formula>NOT(ISERROR(SEARCH("Pesquisa de Preços",E4922)))</formula>
    </cfRule>
  </conditionalFormatting>
  <conditionalFormatting sqref="D4931">
    <cfRule type="containsText" dxfId="232" priority="722" operator="containsText" text="Pesquisa de Preços">
      <formula>NOT(ISERROR(SEARCH("Pesquisa de Preços",D4931)))</formula>
    </cfRule>
  </conditionalFormatting>
  <conditionalFormatting sqref="D4932 D4936">
    <cfRule type="containsText" dxfId="231" priority="721" operator="containsText" text="Pesquisa de Preços">
      <formula>NOT(ISERROR(SEARCH("Pesquisa de Preços",D4932)))</formula>
    </cfRule>
  </conditionalFormatting>
  <conditionalFormatting sqref="D4933">
    <cfRule type="containsText" dxfId="230" priority="720" operator="containsText" text="Pesquisa de Preços">
      <formula>NOT(ISERROR(SEARCH("Pesquisa de Preços",D4933)))</formula>
    </cfRule>
  </conditionalFormatting>
  <conditionalFormatting sqref="D4934:D4935">
    <cfRule type="containsText" dxfId="229" priority="719" operator="containsText" text="Pesquisa de Preços">
      <formula>NOT(ISERROR(SEARCH("Pesquisa de Preços",D4934)))</formula>
    </cfRule>
  </conditionalFormatting>
  <conditionalFormatting sqref="E4932 E4936">
    <cfRule type="containsText" dxfId="228" priority="718" operator="containsText" text="Pesquisa de Preços">
      <formula>NOT(ISERROR(SEARCH("Pesquisa de Preços",E4932)))</formula>
    </cfRule>
  </conditionalFormatting>
  <conditionalFormatting sqref="E4931">
    <cfRule type="containsText" dxfId="227" priority="717" operator="containsText" text="Pesquisa de Preços">
      <formula>NOT(ISERROR(SEARCH("Pesquisa de Preços",E4931)))</formula>
    </cfRule>
  </conditionalFormatting>
  <conditionalFormatting sqref="E4933">
    <cfRule type="containsText" dxfId="226" priority="716" operator="containsText" text="Pesquisa de Preços">
      <formula>NOT(ISERROR(SEARCH("Pesquisa de Preços",E4933)))</formula>
    </cfRule>
  </conditionalFormatting>
  <conditionalFormatting sqref="E4934:E4935">
    <cfRule type="containsText" dxfId="225" priority="715" operator="containsText" text="Pesquisa de Preços">
      <formula>NOT(ISERROR(SEARCH("Pesquisa de Preços",E4934)))</formula>
    </cfRule>
  </conditionalFormatting>
  <conditionalFormatting sqref="D4937">
    <cfRule type="containsText" dxfId="224" priority="711" operator="containsText" text="Pesquisa de Preços">
      <formula>NOT(ISERROR(SEARCH("Pesquisa de Preços",D4937)))</formula>
    </cfRule>
  </conditionalFormatting>
  <conditionalFormatting sqref="D4938 D4942">
    <cfRule type="containsText" dxfId="223" priority="710" operator="containsText" text="Pesquisa de Preços">
      <formula>NOT(ISERROR(SEARCH("Pesquisa de Preços",D4938)))</formula>
    </cfRule>
  </conditionalFormatting>
  <conditionalFormatting sqref="D4939">
    <cfRule type="containsText" dxfId="222" priority="709" operator="containsText" text="Pesquisa de Preços">
      <formula>NOT(ISERROR(SEARCH("Pesquisa de Preços",D4939)))</formula>
    </cfRule>
  </conditionalFormatting>
  <conditionalFormatting sqref="D4940:D4941">
    <cfRule type="containsText" dxfId="221" priority="708" operator="containsText" text="Pesquisa de Preços">
      <formula>NOT(ISERROR(SEARCH("Pesquisa de Preços",D4940)))</formula>
    </cfRule>
  </conditionalFormatting>
  <conditionalFormatting sqref="E4938 E4942">
    <cfRule type="containsText" dxfId="220" priority="707" operator="containsText" text="Pesquisa de Preços">
      <formula>NOT(ISERROR(SEARCH("Pesquisa de Preços",E4938)))</formula>
    </cfRule>
  </conditionalFormatting>
  <conditionalFormatting sqref="E4937">
    <cfRule type="containsText" dxfId="219" priority="706" operator="containsText" text="Pesquisa de Preços">
      <formula>NOT(ISERROR(SEARCH("Pesquisa de Preços",E4937)))</formula>
    </cfRule>
  </conditionalFormatting>
  <conditionalFormatting sqref="E4939">
    <cfRule type="containsText" dxfId="218" priority="705" operator="containsText" text="Pesquisa de Preços">
      <formula>NOT(ISERROR(SEARCH("Pesquisa de Preços",E4939)))</formula>
    </cfRule>
  </conditionalFormatting>
  <conditionalFormatting sqref="E4940:E4941">
    <cfRule type="containsText" dxfId="217" priority="704" operator="containsText" text="Pesquisa de Preços">
      <formula>NOT(ISERROR(SEARCH("Pesquisa de Preços",E4940)))</formula>
    </cfRule>
  </conditionalFormatting>
  <conditionalFormatting sqref="E4944:E4945 E4949">
    <cfRule type="containsText" dxfId="216" priority="696" operator="containsText" text="Pesquisa de Preços">
      <formula>NOT(ISERROR(SEARCH("Pesquisa de Preços",E4944)))</formula>
    </cfRule>
  </conditionalFormatting>
  <conditionalFormatting sqref="E4943">
    <cfRule type="containsText" dxfId="215" priority="695" operator="containsText" text="Pesquisa de Preços">
      <formula>NOT(ISERROR(SEARCH("Pesquisa de Preços",E4943)))</formula>
    </cfRule>
  </conditionalFormatting>
  <conditionalFormatting sqref="D4944:D4945 D4948:D4949">
    <cfRule type="containsText" dxfId="214" priority="697" operator="containsText" text="Pesquisa de Preços">
      <formula>NOT(ISERROR(SEARCH("Pesquisa de Preços",D4944)))</formula>
    </cfRule>
  </conditionalFormatting>
  <conditionalFormatting sqref="D4943">
    <cfRule type="containsText" dxfId="213" priority="698" operator="containsText" text="Pesquisa de Preços">
      <formula>NOT(ISERROR(SEARCH("Pesquisa de Preços",D4943)))</formula>
    </cfRule>
  </conditionalFormatting>
  <conditionalFormatting sqref="D4844">
    <cfRule type="containsText" dxfId="212" priority="686" operator="containsText" text="Pesquisa de Preços">
      <formula>NOT(ISERROR(SEARCH("Pesquisa de Preços",D4844)))</formula>
    </cfRule>
  </conditionalFormatting>
  <conditionalFormatting sqref="E4844">
    <cfRule type="containsText" dxfId="211" priority="685" operator="containsText" text="Pesquisa de Preços">
      <formula>NOT(ISERROR(SEARCH("Pesquisa de Preços",E4844)))</formula>
    </cfRule>
  </conditionalFormatting>
  <conditionalFormatting sqref="D2301">
    <cfRule type="containsText" dxfId="210" priority="676" operator="containsText" text="Pesquisa de Preços">
      <formula>NOT(ISERROR(SEARCH("Pesquisa de Preços",D2301)))</formula>
    </cfRule>
  </conditionalFormatting>
  <conditionalFormatting sqref="E2301">
    <cfRule type="containsText" dxfId="209" priority="675" operator="containsText" text="Pesquisa de Preços">
      <formula>NOT(ISERROR(SEARCH("Pesquisa de Preços",E2301)))</formula>
    </cfRule>
  </conditionalFormatting>
  <conditionalFormatting sqref="D2302:D2303">
    <cfRule type="containsText" dxfId="208" priority="664" operator="containsText" text="Pesquisa de Preços">
      <formula>NOT(ISERROR(SEARCH("Pesquisa de Preços",D2302)))</formula>
    </cfRule>
  </conditionalFormatting>
  <conditionalFormatting sqref="E2302:E2303">
    <cfRule type="containsText" dxfId="207" priority="663" operator="containsText" text="Pesquisa de Preços">
      <formula>NOT(ISERROR(SEARCH("Pesquisa de Preços",E2302)))</formula>
    </cfRule>
  </conditionalFormatting>
  <conditionalFormatting sqref="D2248">
    <cfRule type="containsText" dxfId="206" priority="639" operator="containsText" text="Pesquisa de Preços">
      <formula>NOT(ISERROR(SEARCH("Pesquisa de Preços",D2248)))</formula>
    </cfRule>
  </conditionalFormatting>
  <conditionalFormatting sqref="E2248">
    <cfRule type="containsText" dxfId="205" priority="638" operator="containsText" text="Pesquisa de Preços">
      <formula>NOT(ISERROR(SEARCH("Pesquisa de Preços",E2248)))</formula>
    </cfRule>
  </conditionalFormatting>
  <conditionalFormatting sqref="D4902">
    <cfRule type="containsText" dxfId="204" priority="635" operator="containsText" text="Pesquisa de Preços">
      <formula>NOT(ISERROR(SEARCH("Pesquisa de Preços",D4902)))</formula>
    </cfRule>
  </conditionalFormatting>
  <conditionalFormatting sqref="D4951 D4956">
    <cfRule type="containsText" dxfId="203" priority="618" operator="containsText" text="Pesquisa de Preços">
      <formula>NOT(ISERROR(SEARCH("Pesquisa de Preços",D4951)))</formula>
    </cfRule>
  </conditionalFormatting>
  <conditionalFormatting sqref="D4950">
    <cfRule type="containsText" dxfId="202" priority="619" operator="containsText" text="Pesquisa de Preços">
      <formula>NOT(ISERROR(SEARCH("Pesquisa de Preços",D4950)))</formula>
    </cfRule>
  </conditionalFormatting>
  <conditionalFormatting sqref="E4951 E4956">
    <cfRule type="containsText" dxfId="201" priority="617" operator="containsText" text="Pesquisa de Preços">
      <formula>NOT(ISERROR(SEARCH("Pesquisa de Preços",E4951)))</formula>
    </cfRule>
  </conditionalFormatting>
  <conditionalFormatting sqref="E4950">
    <cfRule type="containsText" dxfId="200" priority="616" operator="containsText" text="Pesquisa de Preços">
      <formula>NOT(ISERROR(SEARCH("Pesquisa de Preços",E4950)))</formula>
    </cfRule>
  </conditionalFormatting>
  <conditionalFormatting sqref="D4957">
    <cfRule type="containsText" dxfId="199" priority="609" operator="containsText" text="Pesquisa de Preços">
      <formula>NOT(ISERROR(SEARCH("Pesquisa de Preços",D4957)))</formula>
    </cfRule>
  </conditionalFormatting>
  <conditionalFormatting sqref="D4958 D4969">
    <cfRule type="containsText" dxfId="198" priority="608" operator="containsText" text="Pesquisa de Preços">
      <formula>NOT(ISERROR(SEARCH("Pesquisa de Preços",D4958)))</formula>
    </cfRule>
  </conditionalFormatting>
  <conditionalFormatting sqref="E4957">
    <cfRule type="containsText" dxfId="197" priority="606" operator="containsText" text="Pesquisa de Preços">
      <formula>NOT(ISERROR(SEARCH("Pesquisa de Preços",E4957)))</formula>
    </cfRule>
  </conditionalFormatting>
  <conditionalFormatting sqref="E4958 E4969">
    <cfRule type="containsText" dxfId="196" priority="607" operator="containsText" text="Pesquisa de Preços">
      <formula>NOT(ISERROR(SEARCH("Pesquisa de Preços",E4958)))</formula>
    </cfRule>
  </conditionalFormatting>
  <conditionalFormatting sqref="D4970">
    <cfRule type="containsText" dxfId="195" priority="592" operator="containsText" text="Pesquisa de Preços">
      <formula>NOT(ISERROR(SEARCH("Pesquisa de Preços",D4970)))</formula>
    </cfRule>
  </conditionalFormatting>
  <conditionalFormatting sqref="D4973">
    <cfRule type="containsText" dxfId="194" priority="584" operator="containsText" text="Pesquisa de Preços">
      <formula>NOT(ISERROR(SEARCH("Pesquisa de Preços",D4973)))</formula>
    </cfRule>
  </conditionalFormatting>
  <conditionalFormatting sqref="D4976">
    <cfRule type="containsText" dxfId="193" priority="580" operator="containsText" text="Pesquisa de Preços">
      <formula>NOT(ISERROR(SEARCH("Pesquisa de Preços",D4976)))</formula>
    </cfRule>
  </conditionalFormatting>
  <conditionalFormatting sqref="D4981">
    <cfRule type="containsText" dxfId="192" priority="575" operator="containsText" text="Pesquisa de Preços">
      <formula>NOT(ISERROR(SEARCH("Pesquisa de Preços",D4981)))</formula>
    </cfRule>
  </conditionalFormatting>
  <conditionalFormatting sqref="D4979">
    <cfRule type="containsText" dxfId="191" priority="572" operator="containsText" text="Pesquisa de Preços">
      <formula>NOT(ISERROR(SEARCH("Pesquisa de Preços",D4979)))</formula>
    </cfRule>
  </conditionalFormatting>
  <conditionalFormatting sqref="D4984">
    <cfRule type="containsText" dxfId="190" priority="566" operator="containsText" text="Pesquisa de Preços">
      <formula>NOT(ISERROR(SEARCH("Pesquisa de Preços",D4984)))</formula>
    </cfRule>
  </conditionalFormatting>
  <conditionalFormatting sqref="D4989">
    <cfRule type="containsText" dxfId="189" priority="563" operator="containsText" text="Pesquisa de Preços">
      <formula>NOT(ISERROR(SEARCH("Pesquisa de Preços",D4989)))</formula>
    </cfRule>
  </conditionalFormatting>
  <conditionalFormatting sqref="D4987">
    <cfRule type="containsText" dxfId="188" priority="560" operator="containsText" text="Pesquisa de Preços">
      <formula>NOT(ISERROR(SEARCH("Pesquisa de Preços",D4987)))</formula>
    </cfRule>
  </conditionalFormatting>
  <conditionalFormatting sqref="D4992">
    <cfRule type="containsText" dxfId="187" priority="554" operator="containsText" text="Pesquisa de Preços">
      <formula>NOT(ISERROR(SEARCH("Pesquisa de Preços",D4992)))</formula>
    </cfRule>
  </conditionalFormatting>
  <conditionalFormatting sqref="D4997">
    <cfRule type="containsText" dxfId="186" priority="551" operator="containsText" text="Pesquisa de Preços">
      <formula>NOT(ISERROR(SEARCH("Pesquisa de Preços",D4997)))</formula>
    </cfRule>
  </conditionalFormatting>
  <conditionalFormatting sqref="D4995">
    <cfRule type="containsText" dxfId="185" priority="548" operator="containsText" text="Pesquisa de Preços">
      <formula>NOT(ISERROR(SEARCH("Pesquisa de Preços",D4995)))</formula>
    </cfRule>
  </conditionalFormatting>
  <conditionalFormatting sqref="D5000">
    <cfRule type="containsText" dxfId="184" priority="530" operator="containsText" text="Pesquisa de Preços">
      <formula>NOT(ISERROR(SEARCH("Pesquisa de Preços",D5000)))</formula>
    </cfRule>
  </conditionalFormatting>
  <conditionalFormatting sqref="D5005">
    <cfRule type="containsText" dxfId="183" priority="527" operator="containsText" text="Pesquisa de Preços">
      <formula>NOT(ISERROR(SEARCH("Pesquisa de Preços",D5005)))</formula>
    </cfRule>
  </conditionalFormatting>
  <conditionalFormatting sqref="D5003">
    <cfRule type="containsText" dxfId="182" priority="524" operator="containsText" text="Pesquisa de Preços">
      <formula>NOT(ISERROR(SEARCH("Pesquisa de Preços",D5003)))</formula>
    </cfRule>
  </conditionalFormatting>
  <conditionalFormatting sqref="D5008">
    <cfRule type="containsText" dxfId="181" priority="518" operator="containsText" text="Pesquisa de Preços">
      <formula>NOT(ISERROR(SEARCH("Pesquisa de Preços",D5008)))</formula>
    </cfRule>
  </conditionalFormatting>
  <conditionalFormatting sqref="D5012">
    <cfRule type="containsText" dxfId="180" priority="515" operator="containsText" text="Pesquisa de Preços">
      <formula>NOT(ISERROR(SEARCH("Pesquisa de Preços",D5012)))</formula>
    </cfRule>
  </conditionalFormatting>
  <conditionalFormatting sqref="D5010">
    <cfRule type="containsText" dxfId="179" priority="505" operator="containsText" text="Pesquisa de Preços">
      <formula>NOT(ISERROR(SEARCH("Pesquisa de Preços",D5010)))</formula>
    </cfRule>
  </conditionalFormatting>
  <conditionalFormatting sqref="D5014">
    <cfRule type="containsText" dxfId="178" priority="503" operator="containsText" text="Pesquisa de Preços">
      <formula>NOT(ISERROR(SEARCH("Pesquisa de Preços",D5014)))</formula>
    </cfRule>
  </conditionalFormatting>
  <conditionalFormatting sqref="D5019">
    <cfRule type="containsText" dxfId="177" priority="500" operator="containsText" text="Pesquisa de Preços">
      <formula>NOT(ISERROR(SEARCH("Pesquisa de Preços",D5019)))</formula>
    </cfRule>
  </conditionalFormatting>
  <conditionalFormatting sqref="D5017">
    <cfRule type="containsText" dxfId="176" priority="497" operator="containsText" text="Pesquisa de Preços">
      <formula>NOT(ISERROR(SEARCH("Pesquisa de Preços",D5017)))</formula>
    </cfRule>
  </conditionalFormatting>
  <conditionalFormatting sqref="D5022">
    <cfRule type="containsText" dxfId="175" priority="491" operator="containsText" text="Pesquisa de Preços">
      <formula>NOT(ISERROR(SEARCH("Pesquisa de Preços",D5022)))</formula>
    </cfRule>
  </conditionalFormatting>
  <conditionalFormatting sqref="D5026">
    <cfRule type="containsText" dxfId="174" priority="488" operator="containsText" text="Pesquisa de Preços">
      <formula>NOT(ISERROR(SEARCH("Pesquisa de Preços",D5026)))</formula>
    </cfRule>
  </conditionalFormatting>
  <conditionalFormatting sqref="D5024">
    <cfRule type="containsText" dxfId="173" priority="483" operator="containsText" text="Pesquisa de Preços">
      <formula>NOT(ISERROR(SEARCH("Pesquisa de Preços",D5024)))</formula>
    </cfRule>
  </conditionalFormatting>
  <conditionalFormatting sqref="D5028">
    <cfRule type="containsText" dxfId="172" priority="481" operator="containsText" text="Pesquisa de Preços">
      <formula>NOT(ISERROR(SEARCH("Pesquisa de Preços",D5028)))</formula>
    </cfRule>
  </conditionalFormatting>
  <conditionalFormatting sqref="D5033">
    <cfRule type="containsText" dxfId="171" priority="478" operator="containsText" text="Pesquisa de Preços">
      <formula>NOT(ISERROR(SEARCH("Pesquisa de Preços",D5033)))</formula>
    </cfRule>
  </conditionalFormatting>
  <conditionalFormatting sqref="D5031">
    <cfRule type="containsText" dxfId="170" priority="475" operator="containsText" text="Pesquisa de Preços">
      <formula>NOT(ISERROR(SEARCH("Pesquisa de Preços",D5031)))</formula>
    </cfRule>
  </conditionalFormatting>
  <conditionalFormatting sqref="D5036">
    <cfRule type="containsText" dxfId="169" priority="467" operator="containsText" text="Pesquisa de Preços">
      <formula>NOT(ISERROR(SEARCH("Pesquisa de Preços",D5036)))</formula>
    </cfRule>
  </conditionalFormatting>
  <conditionalFormatting sqref="D5041">
    <cfRule type="containsText" dxfId="168" priority="464" operator="containsText" text="Pesquisa de Preços">
      <formula>NOT(ISERROR(SEARCH("Pesquisa de Preços",D5041)))</formula>
    </cfRule>
  </conditionalFormatting>
  <conditionalFormatting sqref="D5039">
    <cfRule type="containsText" dxfId="167" priority="461" operator="containsText" text="Pesquisa de Preços">
      <formula>NOT(ISERROR(SEARCH("Pesquisa de Preços",D5039)))</formula>
    </cfRule>
  </conditionalFormatting>
  <conditionalFormatting sqref="D5044">
    <cfRule type="containsText" dxfId="166" priority="455" operator="containsText" text="Pesquisa de Preços">
      <formula>NOT(ISERROR(SEARCH("Pesquisa de Preços",D5044)))</formula>
    </cfRule>
  </conditionalFormatting>
  <conditionalFormatting sqref="D5049">
    <cfRule type="containsText" dxfId="165" priority="452" operator="containsText" text="Pesquisa de Preços">
      <formula>NOT(ISERROR(SEARCH("Pesquisa de Preços",D5049)))</formula>
    </cfRule>
  </conditionalFormatting>
  <conditionalFormatting sqref="D5047">
    <cfRule type="containsText" dxfId="164" priority="449" operator="containsText" text="Pesquisa de Preços">
      <formula>NOT(ISERROR(SEARCH("Pesquisa de Preços",D5047)))</formula>
    </cfRule>
  </conditionalFormatting>
  <conditionalFormatting sqref="D5052">
    <cfRule type="containsText" dxfId="163" priority="443" operator="containsText" text="Pesquisa de Preços">
      <formula>NOT(ISERROR(SEARCH("Pesquisa de Preços",D5052)))</formula>
    </cfRule>
  </conditionalFormatting>
  <conditionalFormatting sqref="D5057">
    <cfRule type="containsText" dxfId="162" priority="440" operator="containsText" text="Pesquisa de Preços">
      <formula>NOT(ISERROR(SEARCH("Pesquisa de Preços",D5057)))</formula>
    </cfRule>
  </conditionalFormatting>
  <conditionalFormatting sqref="D5055">
    <cfRule type="containsText" dxfId="161" priority="437" operator="containsText" text="Pesquisa de Preços">
      <formula>NOT(ISERROR(SEARCH("Pesquisa de Preços",D5055)))</formula>
    </cfRule>
  </conditionalFormatting>
  <conditionalFormatting sqref="D5067">
    <cfRule type="containsText" dxfId="160" priority="428" operator="containsText" text="Pesquisa de Preços">
      <formula>NOT(ISERROR(SEARCH("Pesquisa de Preços",D5067)))</formula>
    </cfRule>
  </conditionalFormatting>
  <conditionalFormatting sqref="D5072">
    <cfRule type="containsText" dxfId="159" priority="425" operator="containsText" text="Pesquisa de Preços">
      <formula>NOT(ISERROR(SEARCH("Pesquisa de Preços",D5072)))</formula>
    </cfRule>
  </conditionalFormatting>
  <conditionalFormatting sqref="D5070">
    <cfRule type="containsText" dxfId="158" priority="422" operator="containsText" text="Pesquisa de Preços">
      <formula>NOT(ISERROR(SEARCH("Pesquisa de Preços",D5070)))</formula>
    </cfRule>
  </conditionalFormatting>
  <conditionalFormatting sqref="D5082">
    <cfRule type="containsText" dxfId="157" priority="413" operator="containsText" text="Pesquisa de Preços">
      <formula>NOT(ISERROR(SEARCH("Pesquisa de Preços",D5082)))</formula>
    </cfRule>
  </conditionalFormatting>
  <conditionalFormatting sqref="D5087">
    <cfRule type="containsText" dxfId="156" priority="410" operator="containsText" text="Pesquisa de Preços">
      <formula>NOT(ISERROR(SEARCH("Pesquisa de Preços",D5087)))</formula>
    </cfRule>
  </conditionalFormatting>
  <conditionalFormatting sqref="D5085">
    <cfRule type="containsText" dxfId="155" priority="407" operator="containsText" text="Pesquisa de Preços">
      <formula>NOT(ISERROR(SEARCH("Pesquisa de Preços",D5085)))</formula>
    </cfRule>
  </conditionalFormatting>
  <conditionalFormatting sqref="D5084">
    <cfRule type="containsText" dxfId="154" priority="402" operator="containsText" text="Pesquisa de Preços">
      <formula>NOT(ISERROR(SEARCH("Pesquisa de Preços",D5084)))</formula>
    </cfRule>
  </conditionalFormatting>
  <conditionalFormatting sqref="D5089">
    <cfRule type="containsText" dxfId="153" priority="400" operator="containsText" text="Pesquisa de Preços">
      <formula>NOT(ISERROR(SEARCH("Pesquisa de Preços",D5089)))</formula>
    </cfRule>
  </conditionalFormatting>
  <conditionalFormatting sqref="D5094">
    <cfRule type="containsText" dxfId="152" priority="397" operator="containsText" text="Pesquisa de Preços">
      <formula>NOT(ISERROR(SEARCH("Pesquisa de Preços",D5094)))</formula>
    </cfRule>
  </conditionalFormatting>
  <conditionalFormatting sqref="D5092">
    <cfRule type="containsText" dxfId="151" priority="394" operator="containsText" text="Pesquisa de Preços">
      <formula>NOT(ISERROR(SEARCH("Pesquisa de Preços",D5092)))</formula>
    </cfRule>
  </conditionalFormatting>
  <conditionalFormatting sqref="D5091">
    <cfRule type="containsText" dxfId="150" priority="391" operator="containsText" text="Pesquisa de Preços">
      <formula>NOT(ISERROR(SEARCH("Pesquisa de Preços",D5091)))</formula>
    </cfRule>
  </conditionalFormatting>
  <conditionalFormatting sqref="D5100">
    <cfRule type="containsText" dxfId="149" priority="366" operator="containsText" text="Pesquisa de Preços">
      <formula>NOT(ISERROR(SEARCH("Pesquisa de Preços",D5100)))</formula>
    </cfRule>
  </conditionalFormatting>
  <conditionalFormatting sqref="D5096">
    <cfRule type="containsText" dxfId="148" priority="378" operator="containsText" text="Pesquisa de Preços">
      <formula>NOT(ISERROR(SEARCH("Pesquisa de Preços",D5096)))</formula>
    </cfRule>
  </conditionalFormatting>
  <conditionalFormatting sqref="D5098">
    <cfRule type="containsText" dxfId="147" priority="369" operator="containsText" text="Pesquisa de Preços">
      <formula>NOT(ISERROR(SEARCH("Pesquisa de Preços",D5098)))</formula>
    </cfRule>
  </conditionalFormatting>
  <conditionalFormatting sqref="D5106">
    <cfRule type="containsText" dxfId="146" priority="356" operator="containsText" text="Pesquisa de Preços">
      <formula>NOT(ISERROR(SEARCH("Pesquisa de Preços",D5106)))</formula>
    </cfRule>
  </conditionalFormatting>
  <conditionalFormatting sqref="D5102">
    <cfRule type="containsText" dxfId="145" priority="364" operator="containsText" text="Pesquisa de Preços">
      <formula>NOT(ISERROR(SEARCH("Pesquisa de Preços",D5102)))</formula>
    </cfRule>
  </conditionalFormatting>
  <conditionalFormatting sqref="D5104">
    <cfRule type="containsText" dxfId="144" priority="357" operator="containsText" text="Pesquisa de Preços">
      <formula>NOT(ISERROR(SEARCH("Pesquisa de Preços",D5104)))</formula>
    </cfRule>
  </conditionalFormatting>
  <conditionalFormatting sqref="D5146">
    <cfRule type="containsText" dxfId="143" priority="308" operator="containsText" text="Pesquisa de Preços">
      <formula>NOT(ISERROR(SEARCH("Pesquisa de Preços",D5146)))</formula>
    </cfRule>
  </conditionalFormatting>
  <conditionalFormatting sqref="D5108">
    <cfRule type="containsText" dxfId="142" priority="338" operator="containsText" text="Pesquisa de Preços">
      <formula>NOT(ISERROR(SEARCH("Pesquisa de Preços",D5108)))</formula>
    </cfRule>
  </conditionalFormatting>
  <conditionalFormatting sqref="D5111">
    <cfRule type="containsText" dxfId="141" priority="335" operator="containsText" text="Pesquisa de Preços">
      <formula>NOT(ISERROR(SEARCH("Pesquisa de Preços",D5111)))</formula>
    </cfRule>
  </conditionalFormatting>
  <conditionalFormatting sqref="D5109 D5112:D5113">
    <cfRule type="containsText" dxfId="140" priority="337" operator="containsText" text="Pesquisa de Preços">
      <formula>NOT(ISERROR(SEARCH("Pesquisa de Preços",D5109)))</formula>
    </cfRule>
  </conditionalFormatting>
  <conditionalFormatting sqref="D5110">
    <cfRule type="containsText" dxfId="139" priority="336" operator="containsText" text="Pesquisa de Preços">
      <formula>NOT(ISERROR(SEARCH("Pesquisa de Preços",D5110)))</formula>
    </cfRule>
  </conditionalFormatting>
  <conditionalFormatting sqref="E5113">
    <cfRule type="containsText" dxfId="138" priority="334" operator="containsText" text="Pesquisa de Preços">
      <formula>NOT(ISERROR(SEARCH("Pesquisa de Preços",E5113)))</formula>
    </cfRule>
  </conditionalFormatting>
  <conditionalFormatting sqref="D5114">
    <cfRule type="containsText" dxfId="137" priority="330" operator="containsText" text="Pesquisa de Preços">
      <formula>NOT(ISERROR(SEARCH("Pesquisa de Preços",D5114)))</formula>
    </cfRule>
  </conditionalFormatting>
  <conditionalFormatting sqref="D5117">
    <cfRule type="containsText" dxfId="136" priority="327" operator="containsText" text="Pesquisa de Preços">
      <formula>NOT(ISERROR(SEARCH("Pesquisa de Preços",D5117)))</formula>
    </cfRule>
  </conditionalFormatting>
  <conditionalFormatting sqref="D5115">
    <cfRule type="containsText" dxfId="135" priority="329" operator="containsText" text="Pesquisa de Preços">
      <formula>NOT(ISERROR(SEARCH("Pesquisa de Preços",D5115)))</formula>
    </cfRule>
  </conditionalFormatting>
  <conditionalFormatting sqref="D5116">
    <cfRule type="containsText" dxfId="134" priority="328" operator="containsText" text="Pesquisa de Preços">
      <formula>NOT(ISERROR(SEARCH("Pesquisa de Preços",D5116)))</formula>
    </cfRule>
  </conditionalFormatting>
  <conditionalFormatting sqref="E5128">
    <cfRule type="containsText" dxfId="133" priority="326" operator="containsText" text="Pesquisa de Preços">
      <formula>NOT(ISERROR(SEARCH("Pesquisa de Preços",E5128)))</formula>
    </cfRule>
  </conditionalFormatting>
  <conditionalFormatting sqref="D5137">
    <cfRule type="containsText" dxfId="132" priority="322" operator="containsText" text="Pesquisa de Preços">
      <formula>NOT(ISERROR(SEARCH("Pesquisa de Preços",D5137)))</formula>
    </cfRule>
  </conditionalFormatting>
  <conditionalFormatting sqref="D5140">
    <cfRule type="containsText" dxfId="131" priority="319" operator="containsText" text="Pesquisa de Preços">
      <formula>NOT(ISERROR(SEARCH("Pesquisa de Preços",D5140)))</formula>
    </cfRule>
  </conditionalFormatting>
  <conditionalFormatting sqref="D5138 D5141:D5142">
    <cfRule type="containsText" dxfId="130" priority="321" operator="containsText" text="Pesquisa de Preços">
      <formula>NOT(ISERROR(SEARCH("Pesquisa de Preços",D5138)))</formula>
    </cfRule>
  </conditionalFormatting>
  <conditionalFormatting sqref="D5139">
    <cfRule type="containsText" dxfId="129" priority="320" operator="containsText" text="Pesquisa de Preços">
      <formula>NOT(ISERROR(SEARCH("Pesquisa de Preços",D5139)))</formula>
    </cfRule>
  </conditionalFormatting>
  <conditionalFormatting sqref="E5142">
    <cfRule type="containsText" dxfId="128" priority="318" operator="containsText" text="Pesquisa de Preços">
      <formula>NOT(ISERROR(SEARCH("Pesquisa de Preços",E5142)))</formula>
    </cfRule>
  </conditionalFormatting>
  <conditionalFormatting sqref="D5143">
    <cfRule type="containsText" dxfId="127" priority="314" operator="containsText" text="Pesquisa de Preços">
      <formula>NOT(ISERROR(SEARCH("Pesquisa de Preços",D5143)))</formula>
    </cfRule>
  </conditionalFormatting>
  <conditionalFormatting sqref="D5148">
    <cfRule type="containsText" dxfId="126" priority="311" operator="containsText" text="Pesquisa de Preços">
      <formula>NOT(ISERROR(SEARCH("Pesquisa de Preços",D5148)))</formula>
    </cfRule>
  </conditionalFormatting>
  <conditionalFormatting sqref="D5145">
    <cfRule type="containsText" dxfId="125" priority="305" operator="containsText" text="Pesquisa de Preços">
      <formula>NOT(ISERROR(SEARCH("Pesquisa de Preços",D5145)))</formula>
    </cfRule>
  </conditionalFormatting>
  <conditionalFormatting sqref="D5121 D5124 D5127">
    <cfRule type="containsText" dxfId="124" priority="304" operator="containsText" text="Pesquisa de Preços">
      <formula>NOT(ISERROR(SEARCH("Pesquisa de Preços",D5121)))</formula>
    </cfRule>
  </conditionalFormatting>
  <conditionalFormatting sqref="D5120 D5123 D5126">
    <cfRule type="containsText" dxfId="123" priority="300" operator="containsText" text="Pesquisa de Preços">
      <formula>NOT(ISERROR(SEARCH("Pesquisa de Preços",D5120)))</formula>
    </cfRule>
  </conditionalFormatting>
  <conditionalFormatting sqref="D5119 D5122 D5125">
    <cfRule type="containsText" dxfId="122" priority="301" operator="containsText" text="Pesquisa de Preços">
      <formula>NOT(ISERROR(SEARCH("Pesquisa de Preços",D5119)))</formula>
    </cfRule>
  </conditionalFormatting>
  <conditionalFormatting sqref="E1065">
    <cfRule type="containsText" dxfId="121" priority="299" operator="containsText" text="Pesquisa de Preços">
      <formula>NOT(ISERROR(SEARCH("Pesquisa de Preços",E1065)))</formula>
    </cfRule>
  </conditionalFormatting>
  <conditionalFormatting sqref="E1064">
    <cfRule type="containsText" dxfId="120" priority="298" operator="containsText" text="Pesquisa de Preços">
      <formula>NOT(ISERROR(SEARCH("Pesquisa de Preços",E1064)))</formula>
    </cfRule>
  </conditionalFormatting>
  <conditionalFormatting sqref="E1163">
    <cfRule type="containsText" dxfId="119" priority="297" operator="containsText" text="Pesquisa de Preços">
      <formula>NOT(ISERROR(SEARCH("Pesquisa de Preços",E1163)))</formula>
    </cfRule>
  </conditionalFormatting>
  <conditionalFormatting sqref="E1161:E1162">
    <cfRule type="containsText" dxfId="118" priority="296" operator="containsText" text="Pesquisa de Preços">
      <formula>NOT(ISERROR(SEARCH("Pesquisa de Preços",E1161)))</formula>
    </cfRule>
  </conditionalFormatting>
  <conditionalFormatting sqref="E1178">
    <cfRule type="containsText" dxfId="117" priority="295" operator="containsText" text="Pesquisa de Preços">
      <formula>NOT(ISERROR(SEARCH("Pesquisa de Preços",E1178)))</formula>
    </cfRule>
  </conditionalFormatting>
  <conditionalFormatting sqref="E1176:E1177">
    <cfRule type="containsText" dxfId="116" priority="294" operator="containsText" text="Pesquisa de Preços">
      <formula>NOT(ISERROR(SEARCH("Pesquisa de Preços",E1176)))</formula>
    </cfRule>
  </conditionalFormatting>
  <conditionalFormatting sqref="E1192">
    <cfRule type="containsText" dxfId="115" priority="293" operator="containsText" text="Pesquisa de Preços">
      <formula>NOT(ISERROR(SEARCH("Pesquisa de Preços",E1192)))</formula>
    </cfRule>
  </conditionalFormatting>
  <conditionalFormatting sqref="E1190:E1191">
    <cfRule type="containsText" dxfId="114" priority="292" operator="containsText" text="Pesquisa de Preços">
      <formula>NOT(ISERROR(SEARCH("Pesquisa de Preços",E1190)))</formula>
    </cfRule>
  </conditionalFormatting>
  <conditionalFormatting sqref="E1199">
    <cfRule type="containsText" dxfId="113" priority="291" operator="containsText" text="Pesquisa de Preços">
      <formula>NOT(ISERROR(SEARCH("Pesquisa de Preços",E1199)))</formula>
    </cfRule>
  </conditionalFormatting>
  <conditionalFormatting sqref="E1197:E1198">
    <cfRule type="containsText" dxfId="112" priority="290" operator="containsText" text="Pesquisa de Preços">
      <formula>NOT(ISERROR(SEARCH("Pesquisa de Preços",E1197)))</formula>
    </cfRule>
  </conditionalFormatting>
  <conditionalFormatting sqref="E1206">
    <cfRule type="containsText" dxfId="111" priority="289" operator="containsText" text="Pesquisa de Preços">
      <formula>NOT(ISERROR(SEARCH("Pesquisa de Preços",E1206)))</formula>
    </cfRule>
  </conditionalFormatting>
  <conditionalFormatting sqref="E1204:E1205">
    <cfRule type="containsText" dxfId="110" priority="288" operator="containsText" text="Pesquisa de Preços">
      <formula>NOT(ISERROR(SEARCH("Pesquisa de Preços",E1204)))</formula>
    </cfRule>
  </conditionalFormatting>
  <conditionalFormatting sqref="D622">
    <cfRule type="containsText" dxfId="109" priority="274" operator="containsText" text="Pesquisa de Preços">
      <formula>NOT(ISERROR(SEARCH("Pesquisa de Preços",D622)))</formula>
    </cfRule>
  </conditionalFormatting>
  <conditionalFormatting sqref="D620:D621">
    <cfRule type="containsText" dxfId="108" priority="273" operator="containsText" text="Pesquisa de Preços">
      <formula>NOT(ISERROR(SEARCH("Pesquisa de Preços",D620)))</formula>
    </cfRule>
  </conditionalFormatting>
  <conditionalFormatting sqref="E622">
    <cfRule type="containsText" dxfId="107" priority="272" operator="containsText" text="Pesquisa de Preços">
      <formula>NOT(ISERROR(SEARCH("Pesquisa de Preços",E622)))</formula>
    </cfRule>
  </conditionalFormatting>
  <conditionalFormatting sqref="E620:E621">
    <cfRule type="containsText" dxfId="106" priority="271" operator="containsText" text="Pesquisa de Preços">
      <formula>NOT(ISERROR(SEARCH("Pesquisa de Preços",E620)))</formula>
    </cfRule>
  </conditionalFormatting>
  <conditionalFormatting sqref="D265">
    <cfRule type="containsText" dxfId="105" priority="259" operator="containsText" text="Pesquisa de Preços">
      <formula>NOT(ISERROR(SEARCH("Pesquisa de Preços",D265)))</formula>
    </cfRule>
  </conditionalFormatting>
  <conditionalFormatting sqref="E265">
    <cfRule type="containsText" dxfId="104" priority="258" operator="containsText" text="Pesquisa de Preços">
      <formula>NOT(ISERROR(SEARCH("Pesquisa de Preços",E265)))</formula>
    </cfRule>
  </conditionalFormatting>
  <conditionalFormatting sqref="D2133">
    <cfRule type="containsText" dxfId="103" priority="255" operator="containsText" text="Pesquisa de Preços">
      <formula>NOT(ISERROR(SEARCH("Pesquisa de Preços",D2133)))</formula>
    </cfRule>
  </conditionalFormatting>
  <conditionalFormatting sqref="E2133">
    <cfRule type="containsText" dxfId="102" priority="254" operator="containsText" text="Pesquisa de Preços">
      <formula>NOT(ISERROR(SEARCH("Pesquisa de Preços",E2133)))</formula>
    </cfRule>
  </conditionalFormatting>
  <conditionalFormatting sqref="D2139">
    <cfRule type="containsText" dxfId="101" priority="251" operator="containsText" text="Pesquisa de Preços">
      <formula>NOT(ISERROR(SEARCH("Pesquisa de Preços",D2139)))</formula>
    </cfRule>
  </conditionalFormatting>
  <conditionalFormatting sqref="D5136">
    <cfRule type="containsText" dxfId="100" priority="241" operator="containsText" text="Pesquisa de Preços">
      <formula>NOT(ISERROR(SEARCH("Pesquisa de Preços",D5136)))</formula>
    </cfRule>
  </conditionalFormatting>
  <conditionalFormatting sqref="E5129">
    <cfRule type="containsText" dxfId="99" priority="234" operator="containsText" text="Pesquisa de Preços">
      <formula>NOT(ISERROR(SEARCH("Pesquisa de Preços",E5129)))</formula>
    </cfRule>
  </conditionalFormatting>
  <conditionalFormatting sqref="E5136">
    <cfRule type="containsText" dxfId="98" priority="238" operator="containsText" text="Pesquisa de Preços">
      <formula>NOT(ISERROR(SEARCH("Pesquisa de Preços",E5136)))</formula>
    </cfRule>
  </conditionalFormatting>
  <conditionalFormatting sqref="D5129">
    <cfRule type="containsText" dxfId="97" priority="229" operator="containsText" text="Pesquisa de Preços">
      <formula>NOT(ISERROR(SEARCH("Pesquisa de Preços",D5129)))</formula>
    </cfRule>
  </conditionalFormatting>
  <conditionalFormatting sqref="D5154">
    <cfRule type="containsText" dxfId="96" priority="212" operator="containsText" text="Pesquisa de Preços">
      <formula>NOT(ISERROR(SEARCH("Pesquisa de Preços",D5154)))</formula>
    </cfRule>
  </conditionalFormatting>
  <conditionalFormatting sqref="D5152">
    <cfRule type="containsText" dxfId="95" priority="213" operator="containsText" text="Pesquisa de Preços">
      <formula>NOT(ISERROR(SEARCH("Pesquisa de Preços",D5152)))</formula>
    </cfRule>
  </conditionalFormatting>
  <conditionalFormatting sqref="D5160">
    <cfRule type="containsText" dxfId="94" priority="200" operator="containsText" text="Pesquisa de Preços">
      <formula>NOT(ISERROR(SEARCH("Pesquisa de Preços",D5160)))</formula>
    </cfRule>
  </conditionalFormatting>
  <conditionalFormatting sqref="D5158">
    <cfRule type="containsText" dxfId="93" priority="201" operator="containsText" text="Pesquisa de Preços">
      <formula>NOT(ISERROR(SEARCH("Pesquisa de Preços",D5158)))</formula>
    </cfRule>
  </conditionalFormatting>
  <conditionalFormatting sqref="D5150">
    <cfRule type="containsText" dxfId="92" priority="192" operator="containsText" text="Pesquisa de Preços">
      <formula>NOT(ISERROR(SEARCH("Pesquisa de Preços",D5150)))</formula>
    </cfRule>
  </conditionalFormatting>
  <conditionalFormatting sqref="D5156">
    <cfRule type="containsText" dxfId="91" priority="191" operator="containsText" text="Pesquisa de Preços">
      <formula>NOT(ISERROR(SEARCH("Pesquisa de Preços",D5156)))</formula>
    </cfRule>
  </conditionalFormatting>
  <conditionalFormatting sqref="D2419">
    <cfRule type="containsText" dxfId="90" priority="190" operator="containsText" text="Pesquisa de Preços">
      <formula>NOT(ISERROR(SEARCH("Pesquisa de Preços",D2419)))</formula>
    </cfRule>
  </conditionalFormatting>
  <conditionalFormatting sqref="D2416">
    <cfRule type="containsText" dxfId="89" priority="189" operator="containsText" text="Pesquisa de Preços">
      <formula>NOT(ISERROR(SEARCH("Pesquisa de Preços",D2416)))</formula>
    </cfRule>
  </conditionalFormatting>
  <conditionalFormatting sqref="E2419">
    <cfRule type="containsText" dxfId="88" priority="188" operator="containsText" text="Pesquisa de Preços">
      <formula>NOT(ISERROR(SEARCH("Pesquisa de Preços",E2419)))</formula>
    </cfRule>
  </conditionalFormatting>
  <conditionalFormatting sqref="D2423">
    <cfRule type="containsText" dxfId="87" priority="185" operator="containsText" text="Pesquisa de Preços">
      <formula>NOT(ISERROR(SEARCH("Pesquisa de Preços",D2423)))</formula>
    </cfRule>
  </conditionalFormatting>
  <conditionalFormatting sqref="D2420">
    <cfRule type="containsText" dxfId="86" priority="184" operator="containsText" text="Pesquisa de Preços">
      <formula>NOT(ISERROR(SEARCH("Pesquisa de Preços",D2420)))</formula>
    </cfRule>
  </conditionalFormatting>
  <conditionalFormatting sqref="E2423">
    <cfRule type="containsText" dxfId="85" priority="183" operator="containsText" text="Pesquisa de Preços">
      <formula>NOT(ISERROR(SEARCH("Pesquisa de Preços",E2423)))</formula>
    </cfRule>
  </conditionalFormatting>
  <conditionalFormatting sqref="D2427">
    <cfRule type="containsText" dxfId="84" priority="180" operator="containsText" text="Pesquisa de Preços">
      <formula>NOT(ISERROR(SEARCH("Pesquisa de Preços",D2427)))</formula>
    </cfRule>
  </conditionalFormatting>
  <conditionalFormatting sqref="D2424">
    <cfRule type="containsText" dxfId="83" priority="179" operator="containsText" text="Pesquisa de Preços">
      <formula>NOT(ISERROR(SEARCH("Pesquisa de Preços",D2424)))</formula>
    </cfRule>
  </conditionalFormatting>
  <conditionalFormatting sqref="E2427">
    <cfRule type="containsText" dxfId="82" priority="178" operator="containsText" text="Pesquisa de Preços">
      <formula>NOT(ISERROR(SEARCH("Pesquisa de Preços",E2427)))</formula>
    </cfRule>
  </conditionalFormatting>
  <conditionalFormatting sqref="D2435">
    <cfRule type="containsText" dxfId="81" priority="175" operator="containsText" text="Pesquisa de Preços">
      <formula>NOT(ISERROR(SEARCH("Pesquisa de Preços",D2435)))</formula>
    </cfRule>
  </conditionalFormatting>
  <conditionalFormatting sqref="D2432">
    <cfRule type="containsText" dxfId="80" priority="174" operator="containsText" text="Pesquisa de Preços">
      <formula>NOT(ISERROR(SEARCH("Pesquisa de Preços",D2432)))</formula>
    </cfRule>
  </conditionalFormatting>
  <conditionalFormatting sqref="E2435">
    <cfRule type="containsText" dxfId="79" priority="173" operator="containsText" text="Pesquisa de Preços">
      <formula>NOT(ISERROR(SEARCH("Pesquisa de Preços",E2435)))</formula>
    </cfRule>
  </conditionalFormatting>
  <conditionalFormatting sqref="D2439">
    <cfRule type="containsText" dxfId="78" priority="170" operator="containsText" text="Pesquisa de Preços">
      <formula>NOT(ISERROR(SEARCH("Pesquisa de Preços",D2439)))</formula>
    </cfRule>
  </conditionalFormatting>
  <conditionalFormatting sqref="D2436">
    <cfRule type="containsText" dxfId="77" priority="169" operator="containsText" text="Pesquisa de Preços">
      <formula>NOT(ISERROR(SEARCH("Pesquisa de Preços",D2436)))</formula>
    </cfRule>
  </conditionalFormatting>
  <conditionalFormatting sqref="E2439">
    <cfRule type="containsText" dxfId="76" priority="168" operator="containsText" text="Pesquisa de Preços">
      <formula>NOT(ISERROR(SEARCH("Pesquisa de Preços",E2439)))</formula>
    </cfRule>
  </conditionalFormatting>
  <conditionalFormatting sqref="D2443">
    <cfRule type="containsText" dxfId="75" priority="165" operator="containsText" text="Pesquisa de Preços">
      <formula>NOT(ISERROR(SEARCH("Pesquisa de Preços",D2443)))</formula>
    </cfRule>
  </conditionalFormatting>
  <conditionalFormatting sqref="D2440">
    <cfRule type="containsText" dxfId="74" priority="164" operator="containsText" text="Pesquisa de Preços">
      <formula>NOT(ISERROR(SEARCH("Pesquisa de Preços",D2440)))</formula>
    </cfRule>
  </conditionalFormatting>
  <conditionalFormatting sqref="E2443">
    <cfRule type="containsText" dxfId="73" priority="163" operator="containsText" text="Pesquisa de Preços">
      <formula>NOT(ISERROR(SEARCH("Pesquisa de Preços",E2443)))</formula>
    </cfRule>
  </conditionalFormatting>
  <conditionalFormatting sqref="D2447">
    <cfRule type="containsText" dxfId="72" priority="160" operator="containsText" text="Pesquisa de Preços">
      <formula>NOT(ISERROR(SEARCH("Pesquisa de Preços",D2447)))</formula>
    </cfRule>
  </conditionalFormatting>
  <conditionalFormatting sqref="D2444">
    <cfRule type="containsText" dxfId="71" priority="159" operator="containsText" text="Pesquisa de Preços">
      <formula>NOT(ISERROR(SEARCH("Pesquisa de Preços",D2444)))</formula>
    </cfRule>
  </conditionalFormatting>
  <conditionalFormatting sqref="E2447">
    <cfRule type="containsText" dxfId="70" priority="158" operator="containsText" text="Pesquisa de Preços">
      <formula>NOT(ISERROR(SEARCH("Pesquisa de Preços",E2447)))</formula>
    </cfRule>
  </conditionalFormatting>
  <conditionalFormatting sqref="D2451">
    <cfRule type="containsText" dxfId="69" priority="155" operator="containsText" text="Pesquisa de Preços">
      <formula>NOT(ISERROR(SEARCH("Pesquisa de Preços",D2451)))</formula>
    </cfRule>
  </conditionalFormatting>
  <conditionalFormatting sqref="D2448">
    <cfRule type="containsText" dxfId="68" priority="154" operator="containsText" text="Pesquisa de Preços">
      <formula>NOT(ISERROR(SEARCH("Pesquisa de Preços",D2448)))</formula>
    </cfRule>
  </conditionalFormatting>
  <conditionalFormatting sqref="E2451">
    <cfRule type="containsText" dxfId="67" priority="153" operator="containsText" text="Pesquisa de Preços">
      <formula>NOT(ISERROR(SEARCH("Pesquisa de Preços",E2451)))</formula>
    </cfRule>
  </conditionalFormatting>
  <conditionalFormatting sqref="D2455">
    <cfRule type="containsText" dxfId="66" priority="150" operator="containsText" text="Pesquisa de Preços">
      <formula>NOT(ISERROR(SEARCH("Pesquisa de Preços",D2455)))</formula>
    </cfRule>
  </conditionalFormatting>
  <conditionalFormatting sqref="D2452">
    <cfRule type="containsText" dxfId="65" priority="149" operator="containsText" text="Pesquisa de Preços">
      <formula>NOT(ISERROR(SEARCH("Pesquisa de Preços",D2452)))</formula>
    </cfRule>
  </conditionalFormatting>
  <conditionalFormatting sqref="E2455">
    <cfRule type="containsText" dxfId="64" priority="148" operator="containsText" text="Pesquisa de Preços">
      <formula>NOT(ISERROR(SEARCH("Pesquisa de Preços",E2455)))</formula>
    </cfRule>
  </conditionalFormatting>
  <conditionalFormatting sqref="D2460">
    <cfRule type="containsText" dxfId="63" priority="144" operator="containsText" text="Pesquisa de Preços">
      <formula>NOT(ISERROR(SEARCH("Pesquisa de Preços",D2460)))</formula>
    </cfRule>
  </conditionalFormatting>
  <conditionalFormatting sqref="D2464">
    <cfRule type="containsText" dxfId="62" priority="140" operator="containsText" text="Pesquisa de Preços">
      <formula>NOT(ISERROR(SEARCH("Pesquisa de Preços",D2464)))</formula>
    </cfRule>
  </conditionalFormatting>
  <conditionalFormatting sqref="D2476">
    <cfRule type="containsText" dxfId="61" priority="136" operator="containsText" text="Pesquisa de Preços">
      <formula>NOT(ISERROR(SEARCH("Pesquisa de Preços",D2476)))</formula>
    </cfRule>
  </conditionalFormatting>
  <conditionalFormatting sqref="D2480">
    <cfRule type="containsText" dxfId="60" priority="132" operator="containsText" text="Pesquisa de Preços">
      <formula>NOT(ISERROR(SEARCH("Pesquisa de Preços",D2480)))</formula>
    </cfRule>
  </conditionalFormatting>
  <conditionalFormatting sqref="D2484">
    <cfRule type="containsText" dxfId="59" priority="128" operator="containsText" text="Pesquisa de Preços">
      <formula>NOT(ISERROR(SEARCH("Pesquisa de Preços",D2484)))</formula>
    </cfRule>
  </conditionalFormatting>
  <conditionalFormatting sqref="D2488">
    <cfRule type="containsText" dxfId="58" priority="124" operator="containsText" text="Pesquisa de Preços">
      <formula>NOT(ISERROR(SEARCH("Pesquisa de Preços",D2488)))</formula>
    </cfRule>
  </conditionalFormatting>
  <conditionalFormatting sqref="D2492">
    <cfRule type="containsText" dxfId="57" priority="120" operator="containsText" text="Pesquisa de Preços">
      <formula>NOT(ISERROR(SEARCH("Pesquisa de Preços",D2492)))</formula>
    </cfRule>
  </conditionalFormatting>
  <conditionalFormatting sqref="D2496">
    <cfRule type="containsText" dxfId="56" priority="116" operator="containsText" text="Pesquisa de Preços">
      <formula>NOT(ISERROR(SEARCH("Pesquisa de Preços",D2496)))</formula>
    </cfRule>
  </conditionalFormatting>
  <conditionalFormatting sqref="D2500">
    <cfRule type="containsText" dxfId="55" priority="112" operator="containsText" text="Pesquisa de Preços">
      <formula>NOT(ISERROR(SEARCH("Pesquisa de Preços",D2500)))</formula>
    </cfRule>
  </conditionalFormatting>
  <conditionalFormatting sqref="D2504">
    <cfRule type="containsText" dxfId="54" priority="108" operator="containsText" text="Pesquisa de Preços">
      <formula>NOT(ISERROR(SEARCH("Pesquisa de Preços",D2504)))</formula>
    </cfRule>
  </conditionalFormatting>
  <conditionalFormatting sqref="D2508">
    <cfRule type="containsText" dxfId="53" priority="104" operator="containsText" text="Pesquisa de Preços">
      <formula>NOT(ISERROR(SEARCH("Pesquisa de Preços",D2508)))</formula>
    </cfRule>
  </conditionalFormatting>
  <conditionalFormatting sqref="D2512">
    <cfRule type="containsText" dxfId="52" priority="100" operator="containsText" text="Pesquisa de Preços">
      <formula>NOT(ISERROR(SEARCH("Pesquisa de Preços",D2512)))</formula>
    </cfRule>
  </conditionalFormatting>
  <conditionalFormatting sqref="D2516">
    <cfRule type="containsText" dxfId="51" priority="96" operator="containsText" text="Pesquisa de Preços">
      <formula>NOT(ISERROR(SEARCH("Pesquisa de Preços",D2516)))</formula>
    </cfRule>
  </conditionalFormatting>
  <conditionalFormatting sqref="D2520">
    <cfRule type="containsText" dxfId="50" priority="90" operator="containsText" text="Pesquisa de Preços">
      <formula>NOT(ISERROR(SEARCH("Pesquisa de Preços",D2520)))</formula>
    </cfRule>
  </conditionalFormatting>
  <conditionalFormatting sqref="D2524">
    <cfRule type="containsText" dxfId="49" priority="86" operator="containsText" text="Pesquisa de Preços">
      <formula>NOT(ISERROR(SEARCH("Pesquisa de Preços",D2524)))</formula>
    </cfRule>
  </conditionalFormatting>
  <conditionalFormatting sqref="D2528">
    <cfRule type="containsText" dxfId="48" priority="82" operator="containsText" text="Pesquisa de Preços">
      <formula>NOT(ISERROR(SEARCH("Pesquisa de Preços",D2528)))</formula>
    </cfRule>
  </conditionalFormatting>
  <conditionalFormatting sqref="D2532">
    <cfRule type="containsText" dxfId="47" priority="78" operator="containsText" text="Pesquisa de Preços">
      <formula>NOT(ISERROR(SEARCH("Pesquisa de Preços",D2532)))</formula>
    </cfRule>
  </conditionalFormatting>
  <conditionalFormatting sqref="D2536">
    <cfRule type="containsText" dxfId="46" priority="74" operator="containsText" text="Pesquisa de Preços">
      <formula>NOT(ISERROR(SEARCH("Pesquisa de Preços",D2536)))</formula>
    </cfRule>
  </conditionalFormatting>
  <conditionalFormatting sqref="D2540">
    <cfRule type="containsText" dxfId="45" priority="70" operator="containsText" text="Pesquisa de Preços">
      <formula>NOT(ISERROR(SEARCH("Pesquisa de Preços",D2540)))</formula>
    </cfRule>
  </conditionalFormatting>
  <conditionalFormatting sqref="D2544">
    <cfRule type="containsText" dxfId="44" priority="66" operator="containsText" text="Pesquisa de Preços">
      <formula>NOT(ISERROR(SEARCH("Pesquisa de Preços",D2544)))</formula>
    </cfRule>
  </conditionalFormatting>
  <conditionalFormatting sqref="D2548">
    <cfRule type="containsText" dxfId="43" priority="62" operator="containsText" text="Pesquisa de Preços">
      <formula>NOT(ISERROR(SEARCH("Pesquisa de Preços",D2548)))</formula>
    </cfRule>
  </conditionalFormatting>
  <conditionalFormatting sqref="D2552">
    <cfRule type="containsText" dxfId="42" priority="58" operator="containsText" text="Pesquisa de Preços">
      <formula>NOT(ISERROR(SEARCH("Pesquisa de Preços",D2552)))</formula>
    </cfRule>
  </conditionalFormatting>
  <conditionalFormatting sqref="D2556">
    <cfRule type="containsText" dxfId="41" priority="54" operator="containsText" text="Pesquisa de Preços">
      <formula>NOT(ISERROR(SEARCH("Pesquisa de Preços",D2556)))</formula>
    </cfRule>
  </conditionalFormatting>
  <conditionalFormatting sqref="D2560">
    <cfRule type="containsText" dxfId="40" priority="50" operator="containsText" text="Pesquisa de Preços">
      <formula>NOT(ISERROR(SEARCH("Pesquisa de Preços",D2560)))</formula>
    </cfRule>
  </conditionalFormatting>
  <conditionalFormatting sqref="D2564">
    <cfRule type="containsText" dxfId="39" priority="46" operator="containsText" text="Pesquisa de Preços">
      <formula>NOT(ISERROR(SEARCH("Pesquisa de Preços",D2564)))</formula>
    </cfRule>
  </conditionalFormatting>
  <conditionalFormatting sqref="D2664">
    <cfRule type="containsText" dxfId="38" priority="32" operator="containsText" text="Pesquisa de Preços">
      <formula>NOT(ISERROR(SEARCH("Pesquisa de Preços",D2664)))</formula>
    </cfRule>
  </conditionalFormatting>
  <conditionalFormatting sqref="D2572">
    <cfRule type="containsText" dxfId="37" priority="38" operator="containsText" text="Pesquisa de Preços">
      <formula>NOT(ISERROR(SEARCH("Pesquisa de Preços",D2572)))</formula>
    </cfRule>
  </conditionalFormatting>
  <conditionalFormatting sqref="D2568">
    <cfRule type="containsText" dxfId="36" priority="34" operator="containsText" text="Pesquisa de Preços">
      <formula>NOT(ISERROR(SEARCH("Pesquisa de Preços",D2568)))</formula>
    </cfRule>
  </conditionalFormatting>
  <conditionalFormatting sqref="D2672">
    <cfRule type="containsText" dxfId="35" priority="28" operator="containsText" text="Pesquisa de Preços">
      <formula>NOT(ISERROR(SEARCH("Pesquisa de Preços",D2672)))</formula>
    </cfRule>
  </conditionalFormatting>
  <conditionalFormatting sqref="D2468">
    <cfRule type="containsText" dxfId="34" priority="24" operator="containsText" text="Pesquisa de Preços">
      <formula>NOT(ISERROR(SEARCH("Pesquisa de Preços",D2468)))</formula>
    </cfRule>
  </conditionalFormatting>
  <conditionalFormatting sqref="D2472">
    <cfRule type="containsText" dxfId="33" priority="20" operator="containsText" text="Pesquisa de Preços">
      <formula>NOT(ISERROR(SEARCH("Pesquisa de Preços",D2472)))</formula>
    </cfRule>
  </conditionalFormatting>
  <hyperlinks>
    <hyperlink ref="C461" r:id="rId1"/>
    <hyperlink ref="C495" r:id="rId2"/>
    <hyperlink ref="C494" r:id="rId3"/>
    <hyperlink ref="C479" r:id="rId4"/>
    <hyperlink ref="C480" r:id="rId5"/>
    <hyperlink ref="C4535" r:id="rId6"/>
    <hyperlink ref="C4602" r:id="rId7"/>
    <hyperlink ref="C4581" r:id="rId8"/>
  </hyperlinks>
  <printOptions horizontalCentered="1"/>
  <pageMargins left="0.19685039370078741" right="0.19685039370078741" top="0.98425196850393704" bottom="0.59055118110236227" header="0.19685039370078741" footer="0.19685039370078741"/>
  <pageSetup paperSize="9" scale="65" fitToHeight="0" orientation="landscape" horizontalDpi="4294967295" verticalDpi="4294967295" r:id="rId9"/>
  <headerFooter>
    <oddHeader>&amp;C&amp;10&amp;G
Secretaria de Infraestrutura
Serviço de Orçamentos&amp;R&amp;10&amp;D</oddHeader>
    <oddFooter>&amp;C&amp;"Arial,Normal"&amp;8&amp;G
Senado Federal | Via N2 | Bloco 14 | CEP 70165-900 | Brasília-DF
Telefones: +55 (61) 3303-4760 / 4776 / 3470 | seorc@senado.leg.br&amp;R&amp;"Arial,Normal"&amp;8&amp;A
&amp;P / &amp;N</oddFooter>
  </headerFooter>
  <rowBreaks count="3" manualBreakCount="3">
    <brk id="5013" max="10" man="1"/>
    <brk id="5051" max="10" man="1"/>
    <brk id="5081" max="10" man="1"/>
  </rowBreaks>
  <drawing r:id="rId10"/>
  <legacyDrawingHF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filterMode="1">
    <pageSetUpPr fitToPage="1"/>
  </sheetPr>
  <dimension ref="A1:I459"/>
  <sheetViews>
    <sheetView zoomScale="80" zoomScaleNormal="80" workbookViewId="0">
      <pane ySplit="5" topLeftCell="A6" activePane="bottomLeft" state="frozen"/>
      <selection pane="bottomLeft" activeCell="J55" sqref="J55"/>
    </sheetView>
  </sheetViews>
  <sheetFormatPr defaultRowHeight="15" x14ac:dyDescent="0.25"/>
  <cols>
    <col min="1" max="1" width="60.42578125" customWidth="1"/>
    <col min="2" max="2" width="65.7109375" style="5" customWidth="1"/>
    <col min="3" max="3" width="15.7109375" customWidth="1"/>
    <col min="4" max="4" width="20.7109375" customWidth="1"/>
    <col min="5" max="5" width="15.7109375" customWidth="1"/>
    <col min="6" max="7" width="17.7109375" customWidth="1"/>
    <col min="8" max="8" width="5.7109375" customWidth="1"/>
    <col min="9" max="9" width="14.42578125" customWidth="1"/>
  </cols>
  <sheetData>
    <row r="1" spans="1:9" ht="24.95" customHeight="1" x14ac:dyDescent="0.25">
      <c r="A1" s="81" t="str">
        <f>Composições!A1</f>
        <v>Interligação da Central de Água Gelada (CAG) da Área Técnica 40 (AT40) com o Bloco 17 (BL17 – SAFIN/Serviço Médico)</v>
      </c>
      <c r="B1" s="105"/>
      <c r="C1" s="81"/>
      <c r="D1" s="81"/>
      <c r="E1" s="81"/>
      <c r="F1" s="81"/>
      <c r="G1" s="81"/>
      <c r="H1" s="82"/>
      <c r="I1" s="83"/>
    </row>
    <row r="2" spans="1:9" ht="24.95" customHeight="1" x14ac:dyDescent="0.25">
      <c r="A2" s="10" t="s">
        <v>1509</v>
      </c>
      <c r="B2" s="11"/>
      <c r="C2" s="11"/>
      <c r="D2" s="11"/>
      <c r="E2" s="11"/>
      <c r="F2" s="11"/>
      <c r="G2" s="11"/>
      <c r="H2" s="13"/>
      <c r="I2" s="83"/>
    </row>
    <row r="3" spans="1:9" ht="20.100000000000001" customHeight="1" x14ac:dyDescent="0.25">
      <c r="A3" s="14" t="str">
        <f>Composições!A3</f>
        <v>Data: Maio de 2021</v>
      </c>
      <c r="B3" s="14"/>
      <c r="C3" s="14"/>
      <c r="D3" s="14"/>
      <c r="E3" s="14"/>
      <c r="F3" s="14"/>
      <c r="G3" s="14"/>
      <c r="H3" s="14"/>
      <c r="I3" s="84"/>
    </row>
    <row r="4" spans="1:9" ht="15.75" thickBot="1" x14ac:dyDescent="0.3">
      <c r="A4" s="85"/>
      <c r="B4" s="86"/>
      <c r="C4" s="86"/>
      <c r="D4" s="86"/>
      <c r="E4" s="86"/>
      <c r="F4" s="86"/>
      <c r="G4" s="86"/>
      <c r="H4" s="87"/>
      <c r="I4" s="88"/>
    </row>
    <row r="5" spans="1:9" ht="30.75" thickBot="1" x14ac:dyDescent="0.3">
      <c r="A5" s="20" t="s">
        <v>2</v>
      </c>
      <c r="B5" s="21" t="s">
        <v>3</v>
      </c>
      <c r="C5" s="21" t="s">
        <v>4</v>
      </c>
      <c r="D5" s="21" t="s">
        <v>5</v>
      </c>
      <c r="E5" s="21" t="s">
        <v>6</v>
      </c>
      <c r="F5" s="21" t="s">
        <v>7</v>
      </c>
      <c r="G5" s="21" t="s">
        <v>1510</v>
      </c>
      <c r="H5" s="24"/>
      <c r="I5" s="89" t="s">
        <v>9</v>
      </c>
    </row>
    <row r="6" spans="1:9" ht="26.25" hidden="1" customHeight="1" thickBot="1" x14ac:dyDescent="0.3">
      <c r="A6" s="239" t="s">
        <v>111</v>
      </c>
      <c r="B6" s="167" t="s">
        <v>572</v>
      </c>
      <c r="C6" s="90" t="s">
        <v>124</v>
      </c>
      <c r="D6" s="91"/>
      <c r="E6" s="71" t="s">
        <v>572</v>
      </c>
      <c r="F6" s="71" t="str">
        <f t="shared" ref="F6:F69" si="0">IF(ISNUMBER(E6),E6*$D6,"")</f>
        <v/>
      </c>
      <c r="G6" s="72"/>
      <c r="H6" s="30"/>
      <c r="I6" s="157">
        <v>0</v>
      </c>
    </row>
    <row r="7" spans="1:9" ht="15.75" hidden="1" thickBot="1" x14ac:dyDescent="0.3">
      <c r="A7" s="239"/>
      <c r="B7" s="32" t="s">
        <v>572</v>
      </c>
      <c r="C7" s="32"/>
      <c r="D7" s="92"/>
      <c r="E7" s="31" t="s">
        <v>572</v>
      </c>
      <c r="F7" s="31" t="str">
        <f t="shared" si="0"/>
        <v/>
      </c>
      <c r="G7" s="35"/>
      <c r="H7" s="31"/>
      <c r="I7" s="157">
        <v>0</v>
      </c>
    </row>
    <row r="8" spans="1:9" ht="15.75" hidden="1" thickBot="1" x14ac:dyDescent="0.3">
      <c r="A8" s="239"/>
      <c r="B8" s="36" t="s">
        <v>117</v>
      </c>
      <c r="C8" s="36" t="s">
        <v>124</v>
      </c>
      <c r="D8" s="37">
        <v>1.07</v>
      </c>
      <c r="E8" s="31">
        <v>90.25</v>
      </c>
      <c r="F8" s="34">
        <f t="shared" si="0"/>
        <v>96.56750000000001</v>
      </c>
      <c r="G8" s="45">
        <f>SUM(F8:F12)</f>
        <v>511.25031794899996</v>
      </c>
      <c r="H8" s="46"/>
      <c r="I8" s="157">
        <v>0</v>
      </c>
    </row>
    <row r="9" spans="1:9" ht="15.75" hidden="1" thickBot="1" x14ac:dyDescent="0.3">
      <c r="A9" s="239"/>
      <c r="B9" s="36" t="s">
        <v>118</v>
      </c>
      <c r="C9" s="36" t="s">
        <v>957</v>
      </c>
      <c r="D9" s="37">
        <v>482.96</v>
      </c>
      <c r="E9" s="34">
        <v>0.47499999999999998</v>
      </c>
      <c r="F9" s="34">
        <f t="shared" si="0"/>
        <v>229.40599999999998</v>
      </c>
      <c r="G9" s="45"/>
      <c r="H9" s="46"/>
      <c r="I9" s="157">
        <v>0</v>
      </c>
    </row>
    <row r="10" spans="1:9" ht="15.75" hidden="1" thickBot="1" x14ac:dyDescent="0.3">
      <c r="A10" s="239"/>
      <c r="B10" s="36" t="s">
        <v>1511</v>
      </c>
      <c r="C10" s="36" t="s">
        <v>759</v>
      </c>
      <c r="D10" s="37">
        <v>8.57</v>
      </c>
      <c r="E10" s="31">
        <v>16.311500000000002</v>
      </c>
      <c r="F10" s="34">
        <f t="shared" si="0"/>
        <v>139.78955500000004</v>
      </c>
      <c r="G10" s="45"/>
      <c r="H10" s="46"/>
      <c r="I10" s="157">
        <v>0</v>
      </c>
    </row>
    <row r="11" spans="1:9" ht="51.75" hidden="1" thickBot="1" x14ac:dyDescent="0.3">
      <c r="A11" s="239"/>
      <c r="B11" s="36" t="s">
        <v>3619</v>
      </c>
      <c r="C11" s="36" t="s">
        <v>124</v>
      </c>
      <c r="D11" s="37">
        <f>ROUND(1*D8,4)</f>
        <v>1.07</v>
      </c>
      <c r="E11" s="31">
        <v>5.6237587000000007</v>
      </c>
      <c r="F11" s="34">
        <f t="shared" si="0"/>
        <v>6.0174218090000009</v>
      </c>
      <c r="G11" s="45"/>
      <c r="H11" s="46"/>
      <c r="I11" s="157">
        <v>0</v>
      </c>
    </row>
    <row r="12" spans="1:9" ht="39" hidden="1" thickBot="1" x14ac:dyDescent="0.3">
      <c r="A12" s="239"/>
      <c r="B12" s="36" t="s">
        <v>3616</v>
      </c>
      <c r="C12" s="47" t="s">
        <v>126</v>
      </c>
      <c r="D12" s="37">
        <f>ROUND(D8*20,4)</f>
        <v>21.4</v>
      </c>
      <c r="E12" s="31">
        <v>1.8443850999999998</v>
      </c>
      <c r="F12" s="34">
        <f t="shared" si="0"/>
        <v>39.469841139999993</v>
      </c>
      <c r="G12" s="45"/>
      <c r="H12" s="46"/>
      <c r="I12" s="157">
        <v>0</v>
      </c>
    </row>
    <row r="13" spans="1:9" ht="15.75" hidden="1" thickBot="1" x14ac:dyDescent="0.3">
      <c r="A13" s="239"/>
      <c r="B13" s="51"/>
      <c r="C13" s="47"/>
      <c r="D13" s="37"/>
      <c r="E13" s="31" t="s">
        <v>572</v>
      </c>
      <c r="F13" s="34" t="str">
        <f t="shared" si="0"/>
        <v/>
      </c>
      <c r="G13" s="45"/>
      <c r="H13" s="46"/>
      <c r="I13" s="157">
        <v>0</v>
      </c>
    </row>
    <row r="14" spans="1:9" ht="15.75" hidden="1" thickBot="1" x14ac:dyDescent="0.3">
      <c r="A14" s="239"/>
      <c r="B14" s="48" t="s">
        <v>812</v>
      </c>
      <c r="C14" s="47"/>
      <c r="D14" s="37"/>
      <c r="E14" s="31" t="s">
        <v>572</v>
      </c>
      <c r="F14" s="34" t="str">
        <f t="shared" si="0"/>
        <v/>
      </c>
      <c r="G14" s="45"/>
      <c r="H14" s="46"/>
      <c r="I14" s="157">
        <v>0</v>
      </c>
    </row>
    <row r="15" spans="1:9" ht="15.75" hidden="1" thickBot="1" x14ac:dyDescent="0.3">
      <c r="A15" s="241"/>
      <c r="B15" s="36" t="s">
        <v>572</v>
      </c>
      <c r="C15" s="36"/>
      <c r="D15" s="93"/>
      <c r="E15" s="31" t="s">
        <v>572</v>
      </c>
      <c r="F15" s="34" t="str">
        <f t="shared" si="0"/>
        <v/>
      </c>
      <c r="G15" s="35"/>
      <c r="H15" s="31"/>
      <c r="I15" s="157">
        <v>0</v>
      </c>
    </row>
    <row r="16" spans="1:9" ht="15.75" hidden="1" customHeight="1" thickBot="1" x14ac:dyDescent="0.3">
      <c r="A16" s="240" t="s">
        <v>452</v>
      </c>
      <c r="B16" s="41" t="s">
        <v>572</v>
      </c>
      <c r="C16" s="26" t="s">
        <v>299</v>
      </c>
      <c r="D16" s="94"/>
      <c r="E16" s="42" t="s">
        <v>572</v>
      </c>
      <c r="F16" s="42" t="str">
        <f t="shared" si="0"/>
        <v/>
      </c>
      <c r="G16" s="29"/>
      <c r="H16" s="30"/>
      <c r="I16" s="157">
        <v>0</v>
      </c>
    </row>
    <row r="17" spans="1:9" ht="15.75" hidden="1" thickBot="1" x14ac:dyDescent="0.3">
      <c r="A17" s="239"/>
      <c r="B17" s="32" t="s">
        <v>572</v>
      </c>
      <c r="C17" s="32"/>
      <c r="D17" s="92"/>
      <c r="E17" s="43" t="s">
        <v>572</v>
      </c>
      <c r="F17" s="31" t="str">
        <f t="shared" si="0"/>
        <v/>
      </c>
      <c r="G17" s="35"/>
      <c r="H17" s="31"/>
      <c r="I17" s="157">
        <v>0</v>
      </c>
    </row>
    <row r="18" spans="1:9" ht="26.25" hidden="1" thickBot="1" x14ac:dyDescent="0.3">
      <c r="A18" s="239"/>
      <c r="B18" s="36" t="s">
        <v>110</v>
      </c>
      <c r="C18" s="36" t="s">
        <v>759</v>
      </c>
      <c r="D18" s="37">
        <v>2.2700000000000001E-2</v>
      </c>
      <c r="E18" s="31">
        <v>16.891000000000002</v>
      </c>
      <c r="F18" s="34">
        <f t="shared" si="0"/>
        <v>0.38342570000000009</v>
      </c>
      <c r="G18" s="45">
        <f>SUM(F18:F19)</f>
        <v>3.8883519</v>
      </c>
      <c r="H18" s="46"/>
      <c r="I18" s="157">
        <v>0</v>
      </c>
    </row>
    <row r="19" spans="1:9" ht="15.75" hidden="1" thickBot="1" x14ac:dyDescent="0.3">
      <c r="A19" s="239"/>
      <c r="B19" s="36" t="s">
        <v>1512</v>
      </c>
      <c r="C19" s="36" t="s">
        <v>759</v>
      </c>
      <c r="D19" s="37">
        <v>0.16209999999999999</v>
      </c>
      <c r="E19" s="31">
        <v>21.622</v>
      </c>
      <c r="F19" s="34">
        <f t="shared" si="0"/>
        <v>3.5049261999999999</v>
      </c>
      <c r="G19" s="45"/>
      <c r="H19" s="46"/>
      <c r="I19" s="157">
        <v>0</v>
      </c>
    </row>
    <row r="20" spans="1:9" ht="15.75" hidden="1" thickBot="1" x14ac:dyDescent="0.3">
      <c r="A20" s="241"/>
      <c r="B20" s="36" t="s">
        <v>572</v>
      </c>
      <c r="C20" s="36"/>
      <c r="D20" s="93"/>
      <c r="E20" s="31" t="s">
        <v>572</v>
      </c>
      <c r="F20" s="31" t="str">
        <f t="shared" si="0"/>
        <v/>
      </c>
      <c r="G20" s="35"/>
      <c r="H20" s="31"/>
      <c r="I20" s="157">
        <v>0</v>
      </c>
    </row>
    <row r="21" spans="1:9" ht="15.75" hidden="1" customHeight="1" thickBot="1" x14ac:dyDescent="0.3">
      <c r="A21" s="240" t="s">
        <v>534</v>
      </c>
      <c r="B21" s="41" t="s">
        <v>572</v>
      </c>
      <c r="C21" s="26" t="s">
        <v>527</v>
      </c>
      <c r="D21" s="94"/>
      <c r="E21" s="42" t="s">
        <v>572</v>
      </c>
      <c r="F21" s="42" t="str">
        <f t="shared" si="0"/>
        <v/>
      </c>
      <c r="G21" s="29"/>
      <c r="H21" s="30"/>
      <c r="I21" s="157">
        <v>0</v>
      </c>
    </row>
    <row r="22" spans="1:9" ht="15.75" hidden="1" thickBot="1" x14ac:dyDescent="0.3">
      <c r="A22" s="239"/>
      <c r="B22" s="32" t="s">
        <v>572</v>
      </c>
      <c r="C22" s="32"/>
      <c r="D22" s="92"/>
      <c r="E22" s="43" t="s">
        <v>572</v>
      </c>
      <c r="F22" s="31" t="str">
        <f t="shared" si="0"/>
        <v/>
      </c>
      <c r="G22" s="35"/>
      <c r="H22" s="31"/>
      <c r="I22" s="157">
        <v>0</v>
      </c>
    </row>
    <row r="23" spans="1:9" ht="26.25" hidden="1" thickBot="1" x14ac:dyDescent="0.3">
      <c r="A23" s="239"/>
      <c r="B23" s="36" t="s">
        <v>1513</v>
      </c>
      <c r="C23" s="36" t="s">
        <v>299</v>
      </c>
      <c r="D23" s="37">
        <v>0.65</v>
      </c>
      <c r="E23" s="34">
        <v>1.1114999999999999</v>
      </c>
      <c r="F23" s="34">
        <f t="shared" si="0"/>
        <v>0.72247499999999998</v>
      </c>
      <c r="G23" s="45">
        <f>SUM(F23:F25)</f>
        <v>2.3833030000000002</v>
      </c>
      <c r="H23" s="46"/>
      <c r="I23" s="157">
        <v>0</v>
      </c>
    </row>
    <row r="24" spans="1:9" ht="26.25" hidden="1" thickBot="1" x14ac:dyDescent="0.3">
      <c r="A24" s="239"/>
      <c r="B24" s="36" t="s">
        <v>110</v>
      </c>
      <c r="C24" s="36" t="s">
        <v>759</v>
      </c>
      <c r="D24" s="37">
        <v>0.01</v>
      </c>
      <c r="E24" s="31">
        <v>16.891000000000002</v>
      </c>
      <c r="F24" s="34">
        <f t="shared" si="0"/>
        <v>0.16891000000000003</v>
      </c>
      <c r="G24" s="45"/>
      <c r="H24" s="46"/>
      <c r="I24" s="157">
        <v>0</v>
      </c>
    </row>
    <row r="25" spans="1:9" ht="15.75" hidden="1" thickBot="1" x14ac:dyDescent="0.3">
      <c r="A25" s="239"/>
      <c r="B25" s="36" t="s">
        <v>1512</v>
      </c>
      <c r="C25" s="36" t="s">
        <v>759</v>
      </c>
      <c r="D25" s="37">
        <v>6.9000000000000006E-2</v>
      </c>
      <c r="E25" s="31">
        <v>21.622</v>
      </c>
      <c r="F25" s="34">
        <f t="shared" si="0"/>
        <v>1.4919180000000001</v>
      </c>
      <c r="G25" s="45"/>
      <c r="H25" s="46"/>
      <c r="I25" s="157">
        <v>0</v>
      </c>
    </row>
    <row r="26" spans="1:9" ht="15.75" hidden="1" thickBot="1" x14ac:dyDescent="0.3">
      <c r="A26" s="241"/>
      <c r="B26" s="36" t="s">
        <v>572</v>
      </c>
      <c r="C26" s="36"/>
      <c r="D26" s="93"/>
      <c r="E26" s="31" t="s">
        <v>572</v>
      </c>
      <c r="F26" s="31" t="str">
        <f t="shared" si="0"/>
        <v/>
      </c>
      <c r="G26" s="35"/>
      <c r="H26" s="31"/>
      <c r="I26" s="157">
        <v>0</v>
      </c>
    </row>
    <row r="27" spans="1:9" ht="15.75" hidden="1" customHeight="1" thickBot="1" x14ac:dyDescent="0.3">
      <c r="A27" s="240" t="s">
        <v>3778</v>
      </c>
      <c r="B27" s="41" t="s">
        <v>572</v>
      </c>
      <c r="C27" s="26" t="s">
        <v>1053</v>
      </c>
      <c r="D27" s="94"/>
      <c r="E27" s="42" t="s">
        <v>572</v>
      </c>
      <c r="F27" s="42" t="str">
        <f t="shared" si="0"/>
        <v/>
      </c>
      <c r="G27" s="29"/>
      <c r="H27" s="30"/>
      <c r="I27" s="157">
        <v>0</v>
      </c>
    </row>
    <row r="28" spans="1:9" ht="15.75" hidden="1" thickBot="1" x14ac:dyDescent="0.3">
      <c r="A28" s="239"/>
      <c r="B28" s="32" t="s">
        <v>572</v>
      </c>
      <c r="C28" s="32"/>
      <c r="D28" s="92"/>
      <c r="E28" s="43" t="s">
        <v>572</v>
      </c>
      <c r="F28" s="31" t="str">
        <f t="shared" si="0"/>
        <v/>
      </c>
      <c r="G28" s="35"/>
      <c r="H28" s="31"/>
      <c r="I28" s="157">
        <v>0</v>
      </c>
    </row>
    <row r="29" spans="1:9" ht="26.25" hidden="1" thickBot="1" x14ac:dyDescent="0.3">
      <c r="A29" s="239"/>
      <c r="B29" s="36" t="s">
        <v>1514</v>
      </c>
      <c r="C29" s="36" t="s">
        <v>1053</v>
      </c>
      <c r="D29" s="37">
        <v>1.1459999999999999</v>
      </c>
      <c r="E29" s="34">
        <v>40.650499999999994</v>
      </c>
      <c r="F29" s="34">
        <f t="shared" si="0"/>
        <v>46.585472999999986</v>
      </c>
      <c r="G29" s="45">
        <f>SUM(F29:F36)</f>
        <v>93.563476499999979</v>
      </c>
      <c r="H29" s="46"/>
      <c r="I29" s="157">
        <v>0</v>
      </c>
    </row>
    <row r="30" spans="1:9" ht="26.25" hidden="1" thickBot="1" x14ac:dyDescent="0.3">
      <c r="A30" s="239"/>
      <c r="B30" s="36" t="s">
        <v>3790</v>
      </c>
      <c r="C30" s="36" t="s">
        <v>527</v>
      </c>
      <c r="D30" s="37">
        <v>0.16600000000000001</v>
      </c>
      <c r="E30" s="34">
        <v>5.6905000000000001</v>
      </c>
      <c r="F30" s="34">
        <f t="shared" si="0"/>
        <v>0.9446230000000001</v>
      </c>
      <c r="G30" s="45"/>
      <c r="H30" s="46"/>
      <c r="I30" s="157">
        <v>0</v>
      </c>
    </row>
    <row r="31" spans="1:9" ht="26.25" hidden="1" thickBot="1" x14ac:dyDescent="0.3">
      <c r="A31" s="239"/>
      <c r="B31" s="36" t="s">
        <v>3792</v>
      </c>
      <c r="C31" s="36" t="s">
        <v>527</v>
      </c>
      <c r="D31" s="37">
        <v>6.952</v>
      </c>
      <c r="E31" s="34">
        <v>1.9854999999999998</v>
      </c>
      <c r="F31" s="34">
        <f t="shared" si="0"/>
        <v>13.803195999999998</v>
      </c>
      <c r="G31" s="45"/>
      <c r="H31" s="46"/>
      <c r="I31" s="157">
        <v>0</v>
      </c>
    </row>
    <row r="32" spans="1:9" ht="15.75" hidden="1" thickBot="1" x14ac:dyDescent="0.3">
      <c r="A32" s="239"/>
      <c r="B32" s="36" t="s">
        <v>1515</v>
      </c>
      <c r="C32" s="36" t="s">
        <v>957</v>
      </c>
      <c r="D32" s="37">
        <v>0.159</v>
      </c>
      <c r="E32" s="34">
        <v>17.394499999999997</v>
      </c>
      <c r="F32" s="34">
        <f t="shared" si="0"/>
        <v>2.7657254999999994</v>
      </c>
      <c r="G32" s="45"/>
      <c r="H32" s="46"/>
      <c r="I32" s="157">
        <v>0</v>
      </c>
    </row>
    <row r="33" spans="1:9" ht="15.75" hidden="1" thickBot="1" x14ac:dyDescent="0.3">
      <c r="A33" s="239"/>
      <c r="B33" s="36" t="s">
        <v>132</v>
      </c>
      <c r="C33" s="36" t="s">
        <v>759</v>
      </c>
      <c r="D33" s="37">
        <v>0.20200000000000001</v>
      </c>
      <c r="E33" s="31">
        <v>18.468</v>
      </c>
      <c r="F33" s="34">
        <f t="shared" si="0"/>
        <v>3.7305360000000003</v>
      </c>
      <c r="G33" s="45"/>
      <c r="H33" s="46"/>
      <c r="I33" s="157">
        <v>0</v>
      </c>
    </row>
    <row r="34" spans="1:9" ht="15.75" hidden="1" thickBot="1" x14ac:dyDescent="0.3">
      <c r="A34" s="239"/>
      <c r="B34" s="36" t="s">
        <v>78</v>
      </c>
      <c r="C34" s="36" t="s">
        <v>759</v>
      </c>
      <c r="D34" s="37">
        <v>1.012</v>
      </c>
      <c r="E34" s="31">
        <v>21.878499999999999</v>
      </c>
      <c r="F34" s="34">
        <f t="shared" si="0"/>
        <v>22.141041999999999</v>
      </c>
      <c r="G34" s="45"/>
      <c r="H34" s="46"/>
      <c r="I34" s="157">
        <v>0</v>
      </c>
    </row>
    <row r="35" spans="1:9" ht="26.25" hidden="1" thickBot="1" x14ac:dyDescent="0.3">
      <c r="A35" s="239"/>
      <c r="B35" s="36" t="s">
        <v>1516</v>
      </c>
      <c r="C35" s="36" t="s">
        <v>1001</v>
      </c>
      <c r="D35" s="37">
        <v>0.05</v>
      </c>
      <c r="E35" s="31">
        <v>19.180499999999999</v>
      </c>
      <c r="F35" s="31">
        <f t="shared" si="0"/>
        <v>0.95902500000000002</v>
      </c>
      <c r="G35" s="45"/>
      <c r="H35" s="46"/>
      <c r="I35" s="157">
        <v>0</v>
      </c>
    </row>
    <row r="36" spans="1:9" ht="26.25" hidden="1" thickBot="1" x14ac:dyDescent="0.3">
      <c r="A36" s="239"/>
      <c r="B36" s="36" t="s">
        <v>1517</v>
      </c>
      <c r="C36" s="36" t="s">
        <v>1003</v>
      </c>
      <c r="D36" s="37">
        <v>0.152</v>
      </c>
      <c r="E36" s="31">
        <v>17.327999999999999</v>
      </c>
      <c r="F36" s="31">
        <f t="shared" si="0"/>
        <v>2.6338559999999998</v>
      </c>
      <c r="G36" s="45"/>
      <c r="H36" s="46"/>
      <c r="I36" s="157">
        <v>0</v>
      </c>
    </row>
    <row r="37" spans="1:9" ht="15.75" hidden="1" thickBot="1" x14ac:dyDescent="0.3">
      <c r="A37" s="239"/>
      <c r="B37" s="36" t="s">
        <v>572</v>
      </c>
      <c r="C37" s="36"/>
      <c r="D37" s="93"/>
      <c r="E37" s="31" t="s">
        <v>572</v>
      </c>
      <c r="F37" s="31" t="str">
        <f t="shared" si="0"/>
        <v/>
      </c>
      <c r="G37" s="35"/>
      <c r="H37" s="31"/>
      <c r="I37" s="157">
        <v>0</v>
      </c>
    </row>
    <row r="38" spans="1:9" ht="15.75" hidden="1" customHeight="1" thickBot="1" x14ac:dyDescent="0.3">
      <c r="A38" s="240" t="s">
        <v>3780</v>
      </c>
      <c r="B38" s="41" t="s">
        <v>572</v>
      </c>
      <c r="C38" s="26" t="s">
        <v>527</v>
      </c>
      <c r="D38" s="94"/>
      <c r="E38" s="42" t="s">
        <v>572</v>
      </c>
      <c r="F38" s="42" t="str">
        <f t="shared" si="0"/>
        <v/>
      </c>
      <c r="G38" s="29"/>
      <c r="H38" s="30"/>
      <c r="I38" s="157">
        <v>0</v>
      </c>
    </row>
    <row r="39" spans="1:9" ht="15.75" hidden="1" thickBot="1" x14ac:dyDescent="0.3">
      <c r="A39" s="239"/>
      <c r="B39" s="32" t="s">
        <v>572</v>
      </c>
      <c r="C39" s="32"/>
      <c r="D39" s="92"/>
      <c r="E39" s="43" t="s">
        <v>572</v>
      </c>
      <c r="F39" s="31" t="str">
        <f t="shared" si="0"/>
        <v/>
      </c>
      <c r="G39" s="35"/>
      <c r="H39" s="31"/>
      <c r="I39" s="157">
        <v>0</v>
      </c>
    </row>
    <row r="40" spans="1:9" ht="26.25" hidden="1" thickBot="1" x14ac:dyDescent="0.3">
      <c r="A40" s="239"/>
      <c r="B40" s="36" t="s">
        <v>3449</v>
      </c>
      <c r="C40" s="36" t="s">
        <v>1053</v>
      </c>
      <c r="D40" s="37">
        <v>0.13600000000000001</v>
      </c>
      <c r="E40" s="31">
        <v>45.609499999999997</v>
      </c>
      <c r="F40" s="31">
        <f t="shared" si="0"/>
        <v>6.2028920000000003</v>
      </c>
      <c r="G40" s="45">
        <f>SUM(F40:F46)</f>
        <v>24.447442499999998</v>
      </c>
      <c r="H40" s="46"/>
      <c r="I40" s="157">
        <v>0</v>
      </c>
    </row>
    <row r="41" spans="1:9" ht="26.25" hidden="1" thickBot="1" x14ac:dyDescent="0.3">
      <c r="A41" s="239"/>
      <c r="B41" s="36" t="s">
        <v>3790</v>
      </c>
      <c r="C41" s="36" t="s">
        <v>527</v>
      </c>
      <c r="D41" s="37">
        <v>2.3420000000000001</v>
      </c>
      <c r="E41" s="31">
        <v>5.6905000000000001</v>
      </c>
      <c r="F41" s="31">
        <f t="shared" si="0"/>
        <v>13.327151000000001</v>
      </c>
      <c r="G41" s="45"/>
      <c r="H41" s="46"/>
      <c r="I41" s="157">
        <v>0</v>
      </c>
    </row>
    <row r="42" spans="1:9" ht="15.75" hidden="1" thickBot="1" x14ac:dyDescent="0.3">
      <c r="A42" s="239"/>
      <c r="B42" s="36" t="s">
        <v>1459</v>
      </c>
      <c r="C42" s="36" t="s">
        <v>957</v>
      </c>
      <c r="D42" s="37">
        <v>1.2E-2</v>
      </c>
      <c r="E42" s="31">
        <v>17.394499999999997</v>
      </c>
      <c r="F42" s="31">
        <f t="shared" si="0"/>
        <v>0.20873399999999998</v>
      </c>
      <c r="G42" s="45"/>
      <c r="H42" s="46"/>
      <c r="I42" s="157">
        <v>0</v>
      </c>
    </row>
    <row r="43" spans="1:9" ht="15.75" hidden="1" thickBot="1" x14ac:dyDescent="0.3">
      <c r="A43" s="239"/>
      <c r="B43" s="36" t="s">
        <v>843</v>
      </c>
      <c r="C43" s="36" t="s">
        <v>759</v>
      </c>
      <c r="D43" s="37">
        <v>3.2000000000000001E-2</v>
      </c>
      <c r="E43" s="31">
        <v>18.468</v>
      </c>
      <c r="F43" s="31">
        <f t="shared" si="0"/>
        <v>0.59097600000000006</v>
      </c>
      <c r="G43" s="45"/>
      <c r="H43" s="46"/>
      <c r="I43" s="157">
        <v>0</v>
      </c>
    </row>
    <row r="44" spans="1:9" ht="15.75" hidden="1" thickBot="1" x14ac:dyDescent="0.3">
      <c r="A44" s="239"/>
      <c r="B44" s="36" t="s">
        <v>1054</v>
      </c>
      <c r="C44" s="36" t="s">
        <v>759</v>
      </c>
      <c r="D44" s="37">
        <v>0.161</v>
      </c>
      <c r="E44" s="31">
        <v>21.878499999999999</v>
      </c>
      <c r="F44" s="31">
        <f t="shared" si="0"/>
        <v>3.5224384999999998</v>
      </c>
      <c r="G44" s="45"/>
      <c r="H44" s="46"/>
      <c r="I44" s="157">
        <v>0</v>
      </c>
    </row>
    <row r="45" spans="1:9" ht="26.25" hidden="1" thickBot="1" x14ac:dyDescent="0.3">
      <c r="A45" s="239"/>
      <c r="B45" s="36" t="s">
        <v>1226</v>
      </c>
      <c r="C45" s="36" t="s">
        <v>1001</v>
      </c>
      <c r="D45" s="37">
        <v>2.1999999999999999E-2</v>
      </c>
      <c r="E45" s="31">
        <v>19.180499999999999</v>
      </c>
      <c r="F45" s="31">
        <f t="shared" si="0"/>
        <v>0.42197099999999993</v>
      </c>
      <c r="G45" s="45"/>
      <c r="H45" s="46"/>
      <c r="I45" s="157">
        <v>0</v>
      </c>
    </row>
    <row r="46" spans="1:9" ht="26.25" hidden="1" thickBot="1" x14ac:dyDescent="0.3">
      <c r="A46" s="239"/>
      <c r="B46" s="36" t="s">
        <v>1227</v>
      </c>
      <c r="C46" s="36" t="s">
        <v>1003</v>
      </c>
      <c r="D46" s="37">
        <v>0.01</v>
      </c>
      <c r="E46" s="31">
        <v>17.327999999999999</v>
      </c>
      <c r="F46" s="34">
        <f t="shared" si="0"/>
        <v>0.17327999999999999</v>
      </c>
      <c r="G46" s="45"/>
      <c r="H46" s="46"/>
      <c r="I46" s="157">
        <v>0</v>
      </c>
    </row>
    <row r="47" spans="1:9" ht="15.75" hidden="1" thickBot="1" x14ac:dyDescent="0.3">
      <c r="A47" s="239"/>
      <c r="B47" s="36" t="s">
        <v>572</v>
      </c>
      <c r="C47" s="36"/>
      <c r="D47" s="93"/>
      <c r="E47" s="31" t="s">
        <v>572</v>
      </c>
      <c r="F47" s="31" t="str">
        <f t="shared" si="0"/>
        <v/>
      </c>
      <c r="G47" s="35"/>
      <c r="H47" s="31"/>
      <c r="I47" s="157">
        <v>0</v>
      </c>
    </row>
    <row r="48" spans="1:9" ht="26.25" customHeight="1" thickBot="1" x14ac:dyDescent="0.3">
      <c r="A48" s="240" t="s">
        <v>160</v>
      </c>
      <c r="B48" s="41" t="s">
        <v>572</v>
      </c>
      <c r="C48" s="26" t="s">
        <v>124</v>
      </c>
      <c r="D48" s="94"/>
      <c r="E48" s="42" t="s">
        <v>572</v>
      </c>
      <c r="F48" s="42" t="str">
        <f t="shared" si="0"/>
        <v/>
      </c>
      <c r="G48" s="29"/>
      <c r="H48" s="30"/>
      <c r="I48" s="157">
        <v>5.0960000000000007E-3</v>
      </c>
    </row>
    <row r="49" spans="1:9" x14ac:dyDescent="0.25">
      <c r="A49" s="239"/>
      <c r="B49" s="32" t="s">
        <v>572</v>
      </c>
      <c r="C49" s="32"/>
      <c r="D49" s="92"/>
      <c r="E49" s="43" t="s">
        <v>572</v>
      </c>
      <c r="F49" s="31" t="str">
        <f t="shared" si="0"/>
        <v/>
      </c>
      <c r="G49" s="35"/>
      <c r="H49" s="31"/>
      <c r="I49" s="157">
        <v>5.0960000000000007E-3</v>
      </c>
    </row>
    <row r="50" spans="1:9" x14ac:dyDescent="0.25">
      <c r="A50" s="239"/>
      <c r="B50" s="36" t="s">
        <v>117</v>
      </c>
      <c r="C50" s="36" t="s">
        <v>124</v>
      </c>
      <c r="D50" s="37">
        <v>1.1599999999999999</v>
      </c>
      <c r="E50" s="34">
        <v>90.25</v>
      </c>
      <c r="F50" s="34">
        <f t="shared" si="0"/>
        <v>104.69</v>
      </c>
      <c r="G50" s="45">
        <f>SUM(F50:F57)</f>
        <v>472.33356941199997</v>
      </c>
      <c r="H50" s="46"/>
      <c r="I50" s="157">
        <v>5.0960000000000007E-3</v>
      </c>
    </row>
    <row r="51" spans="1:9" x14ac:dyDescent="0.25">
      <c r="A51" s="239"/>
      <c r="B51" s="36" t="s">
        <v>1518</v>
      </c>
      <c r="C51" s="36" t="s">
        <v>957</v>
      </c>
      <c r="D51" s="37">
        <v>174.1</v>
      </c>
      <c r="E51" s="34">
        <v>0.85499999999999998</v>
      </c>
      <c r="F51" s="34">
        <f t="shared" si="0"/>
        <v>148.85549999999998</v>
      </c>
      <c r="G51" s="45"/>
      <c r="H51" s="46"/>
      <c r="I51" s="157">
        <v>5.0960000000000007E-3</v>
      </c>
    </row>
    <row r="52" spans="1:9" x14ac:dyDescent="0.25">
      <c r="A52" s="239"/>
      <c r="B52" s="36" t="s">
        <v>118</v>
      </c>
      <c r="C52" s="36" t="s">
        <v>957</v>
      </c>
      <c r="D52" s="37">
        <v>195.86</v>
      </c>
      <c r="E52" s="34">
        <v>0.47499999999999998</v>
      </c>
      <c r="F52" s="34">
        <f t="shared" si="0"/>
        <v>93.033500000000004</v>
      </c>
      <c r="G52" s="45"/>
      <c r="H52" s="46"/>
      <c r="I52" s="157">
        <v>5.0960000000000007E-3</v>
      </c>
    </row>
    <row r="53" spans="1:9" ht="25.5" x14ac:dyDescent="0.25">
      <c r="A53" s="239"/>
      <c r="B53" s="36" t="s">
        <v>120</v>
      </c>
      <c r="C53" s="36" t="s">
        <v>759</v>
      </c>
      <c r="D53" s="37">
        <v>4.5</v>
      </c>
      <c r="E53" s="31">
        <v>16.5015</v>
      </c>
      <c r="F53" s="34">
        <f t="shared" si="0"/>
        <v>74.256749999999997</v>
      </c>
      <c r="G53" s="45"/>
      <c r="H53" s="46"/>
      <c r="I53" s="157">
        <v>5.0960000000000007E-3</v>
      </c>
    </row>
    <row r="54" spans="1:9" ht="38.25" x14ac:dyDescent="0.25">
      <c r="A54" s="239"/>
      <c r="B54" s="36" t="s">
        <v>1519</v>
      </c>
      <c r="C54" s="36" t="s">
        <v>1001</v>
      </c>
      <c r="D54" s="37">
        <v>1.05</v>
      </c>
      <c r="E54" s="31">
        <v>1.2064999999999999</v>
      </c>
      <c r="F54" s="34">
        <f t="shared" si="0"/>
        <v>1.2668249999999999</v>
      </c>
      <c r="G54" s="45"/>
      <c r="H54" s="46"/>
      <c r="I54" s="157">
        <v>5.0960000000000007E-3</v>
      </c>
    </row>
    <row r="55" spans="1:9" ht="38.25" x14ac:dyDescent="0.25">
      <c r="A55" s="239"/>
      <c r="B55" s="36" t="s">
        <v>1520</v>
      </c>
      <c r="C55" s="36" t="s">
        <v>1003</v>
      </c>
      <c r="D55" s="37">
        <v>3.45</v>
      </c>
      <c r="E55" s="31">
        <v>0.26600000000000001</v>
      </c>
      <c r="F55" s="34">
        <f t="shared" si="0"/>
        <v>0.91770000000000007</v>
      </c>
      <c r="G55" s="45"/>
      <c r="H55" s="46"/>
      <c r="I55" s="157">
        <v>5.0960000000000007E-3</v>
      </c>
    </row>
    <row r="56" spans="1:9" ht="51" x14ac:dyDescent="0.25">
      <c r="A56" s="239"/>
      <c r="B56" s="36" t="s">
        <v>3619</v>
      </c>
      <c r="C56" s="36" t="s">
        <v>124</v>
      </c>
      <c r="D56" s="37">
        <f>ROUND(1*D50,4)</f>
        <v>1.1599999999999999</v>
      </c>
      <c r="E56" s="31">
        <v>5.6237587000000007</v>
      </c>
      <c r="F56" s="34">
        <f t="shared" si="0"/>
        <v>6.5235600920000003</v>
      </c>
      <c r="G56" s="45"/>
      <c r="H56" s="46"/>
      <c r="I56" s="157">
        <v>5.0960000000000007E-3</v>
      </c>
    </row>
    <row r="57" spans="1:9" ht="38.25" x14ac:dyDescent="0.25">
      <c r="A57" s="239"/>
      <c r="B57" s="36" t="s">
        <v>3616</v>
      </c>
      <c r="C57" s="47" t="s">
        <v>126</v>
      </c>
      <c r="D57" s="37">
        <f>ROUND(D50*20,4)</f>
        <v>23.2</v>
      </c>
      <c r="E57" s="31">
        <v>1.8443850999999998</v>
      </c>
      <c r="F57" s="34">
        <f t="shared" si="0"/>
        <v>42.789734319999994</v>
      </c>
      <c r="G57" s="45"/>
      <c r="H57" s="46"/>
      <c r="I57" s="157">
        <v>5.0960000000000007E-3</v>
      </c>
    </row>
    <row r="58" spans="1:9" x14ac:dyDescent="0.25">
      <c r="A58" s="239"/>
      <c r="B58" s="51"/>
      <c r="C58" s="47"/>
      <c r="D58" s="37"/>
      <c r="E58" s="31" t="s">
        <v>572</v>
      </c>
      <c r="F58" s="34" t="str">
        <f t="shared" si="0"/>
        <v/>
      </c>
      <c r="G58" s="45"/>
      <c r="H58" s="46"/>
      <c r="I58" s="157">
        <v>5.0960000000000007E-3</v>
      </c>
    </row>
    <row r="59" spans="1:9" x14ac:dyDescent="0.25">
      <c r="A59" s="239"/>
      <c r="B59" s="48" t="s">
        <v>812</v>
      </c>
      <c r="C59" s="47"/>
      <c r="D59" s="37"/>
      <c r="E59" s="31" t="s">
        <v>572</v>
      </c>
      <c r="F59" s="34" t="str">
        <f t="shared" si="0"/>
        <v/>
      </c>
      <c r="G59" s="45"/>
      <c r="H59" s="46"/>
      <c r="I59" s="157">
        <v>5.0960000000000007E-3</v>
      </c>
    </row>
    <row r="60" spans="1:9" ht="15.75" thickBot="1" x14ac:dyDescent="0.3">
      <c r="A60" s="239"/>
      <c r="B60" s="36" t="s">
        <v>572</v>
      </c>
      <c r="C60" s="36"/>
      <c r="D60" s="93"/>
      <c r="E60" s="31" t="s">
        <v>572</v>
      </c>
      <c r="F60" s="31" t="str">
        <f t="shared" si="0"/>
        <v/>
      </c>
      <c r="G60" s="35"/>
      <c r="H60" s="31"/>
      <c r="I60" s="157">
        <v>5.0960000000000007E-3</v>
      </c>
    </row>
    <row r="61" spans="1:9" ht="26.25" hidden="1" customHeight="1" thickBot="1" x14ac:dyDescent="0.3">
      <c r="A61" s="240" t="s">
        <v>1545</v>
      </c>
      <c r="B61" s="41" t="s">
        <v>572</v>
      </c>
      <c r="C61" s="26" t="s">
        <v>1053</v>
      </c>
      <c r="D61" s="94"/>
      <c r="E61" s="42" t="s">
        <v>572</v>
      </c>
      <c r="F61" s="42" t="str">
        <f t="shared" si="0"/>
        <v/>
      </c>
      <c r="G61" s="29"/>
      <c r="H61" s="30"/>
      <c r="I61" s="157">
        <v>0</v>
      </c>
    </row>
    <row r="62" spans="1:9" ht="15.75" hidden="1" thickBot="1" x14ac:dyDescent="0.3">
      <c r="A62" s="239"/>
      <c r="B62" s="32" t="s">
        <v>572</v>
      </c>
      <c r="C62" s="32"/>
      <c r="D62" s="92"/>
      <c r="E62" s="98" t="s">
        <v>572</v>
      </c>
      <c r="F62" s="99" t="str">
        <f t="shared" si="0"/>
        <v/>
      </c>
      <c r="G62" s="35"/>
      <c r="H62" s="31"/>
      <c r="I62" s="157">
        <v>0</v>
      </c>
    </row>
    <row r="63" spans="1:9" ht="15.75" hidden="1" thickBot="1" x14ac:dyDescent="0.3">
      <c r="A63" s="239"/>
      <c r="B63" s="36" t="s">
        <v>118</v>
      </c>
      <c r="C63" s="36" t="s">
        <v>957</v>
      </c>
      <c r="D63" s="37">
        <v>0.5</v>
      </c>
      <c r="E63" s="34">
        <v>0.47499999999999998</v>
      </c>
      <c r="F63" s="34">
        <f t="shared" si="0"/>
        <v>0.23749999999999999</v>
      </c>
      <c r="G63" s="45">
        <f>SUM(F63:F67)</f>
        <v>36.230528848790001</v>
      </c>
      <c r="H63" s="46"/>
      <c r="I63" s="157">
        <v>0</v>
      </c>
    </row>
    <row r="64" spans="1:9" ht="15.75" hidden="1" thickBot="1" x14ac:dyDescent="0.3">
      <c r="A64" s="239"/>
      <c r="B64" s="36" t="s">
        <v>227</v>
      </c>
      <c r="C64" s="36" t="s">
        <v>105</v>
      </c>
      <c r="D64" s="37">
        <v>0.435</v>
      </c>
      <c r="E64" s="34">
        <v>12.112499999999999</v>
      </c>
      <c r="F64" s="34">
        <f t="shared" si="0"/>
        <v>5.2689374999999998</v>
      </c>
      <c r="G64" s="45"/>
      <c r="H64" s="46"/>
      <c r="I64" s="157">
        <v>0</v>
      </c>
    </row>
    <row r="65" spans="1:9" ht="39" hidden="1" thickBot="1" x14ac:dyDescent="0.3">
      <c r="A65" s="239"/>
      <c r="B65" s="36" t="s">
        <v>1436</v>
      </c>
      <c r="C65" s="36" t="s">
        <v>124</v>
      </c>
      <c r="D65" s="37">
        <v>4.3099999999999999E-2</v>
      </c>
      <c r="E65" s="31">
        <v>481.29510090000008</v>
      </c>
      <c r="F65" s="34">
        <f t="shared" si="0"/>
        <v>20.743818848790003</v>
      </c>
      <c r="G65" s="45"/>
      <c r="H65" s="46"/>
      <c r="I65" s="157">
        <v>0</v>
      </c>
    </row>
    <row r="66" spans="1:9" ht="15.75" hidden="1" thickBot="1" x14ac:dyDescent="0.3">
      <c r="A66" s="239"/>
      <c r="B66" s="36" t="s">
        <v>1202</v>
      </c>
      <c r="C66" s="36" t="s">
        <v>759</v>
      </c>
      <c r="D66" s="37">
        <v>0.33</v>
      </c>
      <c r="E66" s="31">
        <v>22.087499999999999</v>
      </c>
      <c r="F66" s="34">
        <f t="shared" si="0"/>
        <v>7.288875</v>
      </c>
      <c r="G66" s="45"/>
      <c r="H66" s="46"/>
      <c r="I66" s="157">
        <v>0</v>
      </c>
    </row>
    <row r="67" spans="1:9" ht="15.75" hidden="1" thickBot="1" x14ac:dyDescent="0.3">
      <c r="A67" s="239"/>
      <c r="B67" s="36" t="s">
        <v>1511</v>
      </c>
      <c r="C67" s="36" t="s">
        <v>759</v>
      </c>
      <c r="D67" s="37">
        <v>0.16500000000000001</v>
      </c>
      <c r="E67" s="31">
        <v>16.311500000000002</v>
      </c>
      <c r="F67" s="34">
        <f t="shared" si="0"/>
        <v>2.6913975000000003</v>
      </c>
      <c r="G67" s="45"/>
      <c r="H67" s="46"/>
      <c r="I67" s="157">
        <v>0</v>
      </c>
    </row>
    <row r="68" spans="1:9" ht="15.75" hidden="1" thickBot="1" x14ac:dyDescent="0.3">
      <c r="A68" s="239"/>
      <c r="B68" s="36" t="s">
        <v>572</v>
      </c>
      <c r="C68" s="36"/>
      <c r="D68" s="93"/>
      <c r="E68" s="31" t="s">
        <v>572</v>
      </c>
      <c r="F68" s="31" t="str">
        <f t="shared" si="0"/>
        <v/>
      </c>
      <c r="G68" s="35"/>
      <c r="H68" s="31"/>
      <c r="I68" s="157">
        <v>0</v>
      </c>
    </row>
    <row r="69" spans="1:9" ht="15.75" thickBot="1" x14ac:dyDescent="0.3">
      <c r="A69" s="240" t="s">
        <v>185</v>
      </c>
      <c r="B69" s="41" t="s">
        <v>572</v>
      </c>
      <c r="C69" s="26" t="s">
        <v>124</v>
      </c>
      <c r="D69" s="94"/>
      <c r="E69" s="42" t="s">
        <v>572</v>
      </c>
      <c r="F69" s="42" t="str">
        <f t="shared" si="0"/>
        <v/>
      </c>
      <c r="G69" s="29"/>
      <c r="H69" s="30"/>
      <c r="I69" s="157">
        <v>7.6440000000000015E-3</v>
      </c>
    </row>
    <row r="70" spans="1:9" x14ac:dyDescent="0.25">
      <c r="A70" s="239"/>
      <c r="B70" s="32" t="s">
        <v>572</v>
      </c>
      <c r="C70" s="32"/>
      <c r="D70" s="92"/>
      <c r="E70" s="43" t="s">
        <v>572</v>
      </c>
      <c r="F70" s="31" t="str">
        <f t="shared" ref="F70:F133" si="1">IF(ISNUMBER(E70),E70*$D70,"")</f>
        <v/>
      </c>
      <c r="G70" s="35"/>
      <c r="H70" s="31"/>
      <c r="I70" s="157">
        <v>7.6440000000000015E-3</v>
      </c>
    </row>
    <row r="71" spans="1:9" ht="15.75" customHeight="1" x14ac:dyDescent="0.25">
      <c r="A71" s="239"/>
      <c r="B71" s="36" t="s">
        <v>1521</v>
      </c>
      <c r="C71" s="36" t="s">
        <v>124</v>
      </c>
      <c r="D71" s="37">
        <v>0.94</v>
      </c>
      <c r="E71" s="34">
        <v>112.63199999999999</v>
      </c>
      <c r="F71" s="34">
        <f t="shared" si="1"/>
        <v>105.87407999999999</v>
      </c>
      <c r="G71" s="45">
        <f>SUM(F71:F75)</f>
        <v>526.33683305800002</v>
      </c>
      <c r="H71" s="46"/>
      <c r="I71" s="157">
        <v>7.6440000000000015E-3</v>
      </c>
    </row>
    <row r="72" spans="1:9" x14ac:dyDescent="0.25">
      <c r="A72" s="239"/>
      <c r="B72" s="36" t="s">
        <v>118</v>
      </c>
      <c r="C72" s="36" t="s">
        <v>957</v>
      </c>
      <c r="D72" s="37">
        <v>422.63</v>
      </c>
      <c r="E72" s="34">
        <v>0.47499999999999998</v>
      </c>
      <c r="F72" s="34">
        <f t="shared" si="1"/>
        <v>200.74924999999999</v>
      </c>
      <c r="G72" s="45"/>
      <c r="H72" s="46"/>
      <c r="I72" s="157">
        <v>7.6440000000000015E-3</v>
      </c>
    </row>
    <row r="73" spans="1:9" x14ac:dyDescent="0.25">
      <c r="A73" s="239"/>
      <c r="B73" s="36" t="s">
        <v>1511</v>
      </c>
      <c r="C73" s="36" t="s">
        <v>759</v>
      </c>
      <c r="D73" s="37">
        <v>11.02</v>
      </c>
      <c r="E73" s="31">
        <v>16.311500000000002</v>
      </c>
      <c r="F73" s="34">
        <f t="shared" si="1"/>
        <v>179.75273000000001</v>
      </c>
      <c r="G73" s="45"/>
      <c r="H73" s="46"/>
      <c r="I73" s="157">
        <v>7.6440000000000015E-3</v>
      </c>
    </row>
    <row r="74" spans="1:9" ht="51" x14ac:dyDescent="0.25">
      <c r="A74" s="239"/>
      <c r="B74" s="36" t="s">
        <v>3619</v>
      </c>
      <c r="C74" s="36" t="s">
        <v>124</v>
      </c>
      <c r="D74" s="37">
        <f>ROUND(1*D71,4)</f>
        <v>0.94</v>
      </c>
      <c r="E74" s="31">
        <v>5.6237587000000007</v>
      </c>
      <c r="F74" s="34">
        <f t="shared" si="1"/>
        <v>5.2863331780000005</v>
      </c>
      <c r="G74" s="45"/>
      <c r="H74" s="46"/>
      <c r="I74" s="157">
        <v>7.6440000000000015E-3</v>
      </c>
    </row>
    <row r="75" spans="1:9" ht="38.25" x14ac:dyDescent="0.25">
      <c r="A75" s="239"/>
      <c r="B75" s="36" t="s">
        <v>3616</v>
      </c>
      <c r="C75" s="47" t="s">
        <v>126</v>
      </c>
      <c r="D75" s="37">
        <f>ROUND(D71*20,4)</f>
        <v>18.8</v>
      </c>
      <c r="E75" s="31">
        <v>1.8443850999999998</v>
      </c>
      <c r="F75" s="34">
        <f t="shared" si="1"/>
        <v>34.674439879999994</v>
      </c>
      <c r="G75" s="45"/>
      <c r="H75" s="46"/>
      <c r="I75" s="157">
        <v>7.6440000000000015E-3</v>
      </c>
    </row>
    <row r="76" spans="1:9" x14ac:dyDescent="0.25">
      <c r="A76" s="239"/>
      <c r="B76" s="51"/>
      <c r="C76" s="47"/>
      <c r="D76" s="37"/>
      <c r="E76" s="31" t="s">
        <v>572</v>
      </c>
      <c r="F76" s="34" t="str">
        <f t="shared" si="1"/>
        <v/>
      </c>
      <c r="G76" s="45"/>
      <c r="H76" s="46"/>
      <c r="I76" s="157">
        <v>7.6440000000000015E-3</v>
      </c>
    </row>
    <row r="77" spans="1:9" x14ac:dyDescent="0.25">
      <c r="A77" s="239"/>
      <c r="B77" s="48" t="s">
        <v>812</v>
      </c>
      <c r="C77" s="47"/>
      <c r="D77" s="37"/>
      <c r="E77" s="31" t="s">
        <v>572</v>
      </c>
      <c r="F77" s="34" t="str">
        <f t="shared" si="1"/>
        <v/>
      </c>
      <c r="G77" s="45"/>
      <c r="H77" s="46"/>
      <c r="I77" s="157">
        <v>7.6440000000000015E-3</v>
      </c>
    </row>
    <row r="78" spans="1:9" ht="26.25" customHeight="1" thickBot="1" x14ac:dyDescent="0.3">
      <c r="A78" s="239"/>
      <c r="B78" s="36" t="s">
        <v>572</v>
      </c>
      <c r="C78" s="36"/>
      <c r="D78" s="93"/>
      <c r="E78" s="31" t="s">
        <v>572</v>
      </c>
      <c r="F78" s="31" t="str">
        <f t="shared" si="1"/>
        <v/>
      </c>
      <c r="G78" s="35"/>
      <c r="H78" s="31"/>
      <c r="I78" s="157">
        <v>7.6440000000000015E-3</v>
      </c>
    </row>
    <row r="79" spans="1:9" ht="15.75" hidden="1" thickBot="1" x14ac:dyDescent="0.3">
      <c r="A79" s="240" t="s">
        <v>183</v>
      </c>
      <c r="B79" s="41" t="s">
        <v>572</v>
      </c>
      <c r="C79" s="26" t="s">
        <v>124</v>
      </c>
      <c r="D79" s="94"/>
      <c r="E79" s="42" t="s">
        <v>572</v>
      </c>
      <c r="F79" s="42" t="str">
        <f t="shared" si="1"/>
        <v/>
      </c>
      <c r="G79" s="29"/>
      <c r="H79" s="30"/>
      <c r="I79" s="157">
        <v>0</v>
      </c>
    </row>
    <row r="80" spans="1:9" ht="15.75" hidden="1" thickBot="1" x14ac:dyDescent="0.3">
      <c r="A80" s="239"/>
      <c r="B80" s="32" t="s">
        <v>572</v>
      </c>
      <c r="C80" s="32"/>
      <c r="D80" s="92"/>
      <c r="E80" s="43" t="s">
        <v>572</v>
      </c>
      <c r="F80" s="31" t="str">
        <f t="shared" si="1"/>
        <v/>
      </c>
      <c r="G80" s="35"/>
      <c r="H80" s="31"/>
      <c r="I80" s="157">
        <v>0</v>
      </c>
    </row>
    <row r="81" spans="1:9" ht="15.75" hidden="1" thickBot="1" x14ac:dyDescent="0.3">
      <c r="A81" s="239"/>
      <c r="B81" s="36" t="s">
        <v>1522</v>
      </c>
      <c r="C81" s="36" t="s">
        <v>957</v>
      </c>
      <c r="D81" s="37">
        <v>1981.23</v>
      </c>
      <c r="E81" s="34">
        <v>0.874</v>
      </c>
      <c r="F81" s="34">
        <f t="shared" si="1"/>
        <v>1731.59502</v>
      </c>
      <c r="G81" s="45">
        <f>SUM(F81:F84)</f>
        <v>1815.67705</v>
      </c>
      <c r="H81" s="46"/>
      <c r="I81" s="157">
        <v>0</v>
      </c>
    </row>
    <row r="82" spans="1:9" ht="26.25" hidden="1" thickBot="1" x14ac:dyDescent="0.3">
      <c r="A82" s="239"/>
      <c r="B82" s="36" t="s">
        <v>120</v>
      </c>
      <c r="C82" s="36" t="s">
        <v>759</v>
      </c>
      <c r="D82" s="37">
        <v>4.72</v>
      </c>
      <c r="E82" s="31">
        <v>16.5015</v>
      </c>
      <c r="F82" s="34">
        <f t="shared" si="1"/>
        <v>77.887079999999997</v>
      </c>
      <c r="G82" s="45"/>
      <c r="H82" s="46"/>
      <c r="I82" s="157">
        <v>0</v>
      </c>
    </row>
    <row r="83" spans="1:9" ht="26.25" hidden="1" thickBot="1" x14ac:dyDescent="0.3">
      <c r="A83" s="239"/>
      <c r="B83" s="36" t="s">
        <v>1523</v>
      </c>
      <c r="C83" s="36" t="s">
        <v>1001</v>
      </c>
      <c r="D83" s="37">
        <v>1.1000000000000001</v>
      </c>
      <c r="E83" s="31">
        <v>3.2869999999999999</v>
      </c>
      <c r="F83" s="95">
        <f t="shared" si="1"/>
        <v>3.6157000000000004</v>
      </c>
      <c r="G83" s="45"/>
      <c r="H83" s="46"/>
      <c r="I83" s="157">
        <v>0</v>
      </c>
    </row>
    <row r="84" spans="1:9" ht="26.25" hidden="1" thickBot="1" x14ac:dyDescent="0.3">
      <c r="A84" s="239"/>
      <c r="B84" s="36" t="s">
        <v>1524</v>
      </c>
      <c r="C84" s="36" t="s">
        <v>1003</v>
      </c>
      <c r="D84" s="37">
        <v>3.62</v>
      </c>
      <c r="E84" s="31">
        <v>0.71249999999999991</v>
      </c>
      <c r="F84" s="95">
        <f t="shared" si="1"/>
        <v>2.5792499999999996</v>
      </c>
      <c r="G84" s="45"/>
      <c r="H84" s="46"/>
      <c r="I84" s="157">
        <v>0</v>
      </c>
    </row>
    <row r="85" spans="1:9" ht="15.75" hidden="1" thickBot="1" x14ac:dyDescent="0.3">
      <c r="A85" s="239"/>
      <c r="B85" s="36" t="s">
        <v>572</v>
      </c>
      <c r="C85" s="36"/>
      <c r="D85" s="93"/>
      <c r="E85" s="31" t="s">
        <v>572</v>
      </c>
      <c r="F85" s="31" t="str">
        <f t="shared" si="1"/>
        <v/>
      </c>
      <c r="G85" s="35"/>
      <c r="H85" s="31"/>
      <c r="I85" s="157">
        <v>0</v>
      </c>
    </row>
    <row r="86" spans="1:9" ht="15.75" thickBot="1" x14ac:dyDescent="0.3">
      <c r="A86" s="240" t="s">
        <v>226</v>
      </c>
      <c r="B86" s="41" t="s">
        <v>572</v>
      </c>
      <c r="C86" s="26" t="s">
        <v>124</v>
      </c>
      <c r="D86" s="94"/>
      <c r="E86" s="42" t="s">
        <v>572</v>
      </c>
      <c r="F86" s="42" t="str">
        <f t="shared" si="1"/>
        <v/>
      </c>
      <c r="G86" s="29"/>
      <c r="H86" s="30"/>
      <c r="I86" s="157">
        <v>1.6324599999999998E-2</v>
      </c>
    </row>
    <row r="87" spans="1:9" x14ac:dyDescent="0.25">
      <c r="A87" s="239"/>
      <c r="B87" s="32" t="s">
        <v>572</v>
      </c>
      <c r="C87" s="32"/>
      <c r="D87" s="92"/>
      <c r="E87" s="43" t="s">
        <v>572</v>
      </c>
      <c r="F87" s="31" t="str">
        <f t="shared" si="1"/>
        <v/>
      </c>
      <c r="G87" s="35"/>
      <c r="H87" s="31"/>
      <c r="I87" s="157">
        <v>1.6324599999999998E-2</v>
      </c>
    </row>
    <row r="88" spans="1:9" ht="26.25" customHeight="1" x14ac:dyDescent="0.25">
      <c r="A88" s="239"/>
      <c r="B88" s="36" t="s">
        <v>117</v>
      </c>
      <c r="C88" s="36" t="s">
        <v>124</v>
      </c>
      <c r="D88" s="37">
        <v>1.35</v>
      </c>
      <c r="E88" s="34">
        <v>90.25</v>
      </c>
      <c r="F88" s="34">
        <f t="shared" si="1"/>
        <v>121.83750000000001</v>
      </c>
      <c r="G88" s="45">
        <f>SUM(F88:F92)</f>
        <v>574.90620194500002</v>
      </c>
      <c r="H88" s="46"/>
      <c r="I88" s="157">
        <v>1.6324599999999998E-2</v>
      </c>
    </row>
    <row r="89" spans="1:9" x14ac:dyDescent="0.25">
      <c r="A89" s="239"/>
      <c r="B89" s="36" t="s">
        <v>118</v>
      </c>
      <c r="C89" s="36" t="s">
        <v>957</v>
      </c>
      <c r="D89" s="37">
        <v>454.58</v>
      </c>
      <c r="E89" s="34">
        <v>0.47499999999999998</v>
      </c>
      <c r="F89" s="34">
        <f t="shared" si="1"/>
        <v>215.92549999999997</v>
      </c>
      <c r="G89" s="45"/>
      <c r="H89" s="46"/>
      <c r="I89" s="157">
        <v>1.6324599999999998E-2</v>
      </c>
    </row>
    <row r="90" spans="1:9" x14ac:dyDescent="0.25">
      <c r="A90" s="239"/>
      <c r="B90" s="36" t="s">
        <v>1511</v>
      </c>
      <c r="C90" s="36" t="s">
        <v>759</v>
      </c>
      <c r="D90" s="37">
        <v>11.02</v>
      </c>
      <c r="E90" s="31">
        <v>16.311500000000002</v>
      </c>
      <c r="F90" s="34">
        <f t="shared" si="1"/>
        <v>179.75273000000001</v>
      </c>
      <c r="G90" s="45"/>
      <c r="H90" s="46"/>
      <c r="I90" s="157">
        <v>1.6324599999999998E-2</v>
      </c>
    </row>
    <row r="91" spans="1:9" ht="51" x14ac:dyDescent="0.25">
      <c r="A91" s="239"/>
      <c r="B91" s="36" t="s">
        <v>3619</v>
      </c>
      <c r="C91" s="36" t="s">
        <v>124</v>
      </c>
      <c r="D91" s="37">
        <f>ROUND(1*D88,4)</f>
        <v>1.35</v>
      </c>
      <c r="E91" s="31">
        <v>5.6237587000000007</v>
      </c>
      <c r="F91" s="34">
        <f t="shared" si="1"/>
        <v>7.5920742450000018</v>
      </c>
      <c r="G91" s="45"/>
      <c r="H91" s="46"/>
      <c r="I91" s="157">
        <v>1.6324599999999998E-2</v>
      </c>
    </row>
    <row r="92" spans="1:9" ht="38.25" x14ac:dyDescent="0.25">
      <c r="A92" s="239"/>
      <c r="B92" s="36" t="s">
        <v>3616</v>
      </c>
      <c r="C92" s="47" t="s">
        <v>126</v>
      </c>
      <c r="D92" s="37">
        <f>ROUND(D88*20,4)</f>
        <v>27</v>
      </c>
      <c r="E92" s="31">
        <v>1.8443850999999998</v>
      </c>
      <c r="F92" s="34">
        <f t="shared" si="1"/>
        <v>49.798397699999995</v>
      </c>
      <c r="G92" s="45"/>
      <c r="H92" s="46"/>
      <c r="I92" s="157">
        <v>1.6324599999999998E-2</v>
      </c>
    </row>
    <row r="93" spans="1:9" x14ac:dyDescent="0.25">
      <c r="A93" s="239"/>
      <c r="B93" s="51"/>
      <c r="C93" s="47"/>
      <c r="D93" s="37"/>
      <c r="E93" s="31" t="s">
        <v>572</v>
      </c>
      <c r="F93" s="34" t="str">
        <f t="shared" si="1"/>
        <v/>
      </c>
      <c r="G93" s="45"/>
      <c r="H93" s="46"/>
      <c r="I93" s="157">
        <v>1.6324599999999998E-2</v>
      </c>
    </row>
    <row r="94" spans="1:9" x14ac:dyDescent="0.25">
      <c r="A94" s="239"/>
      <c r="B94" s="48" t="s">
        <v>812</v>
      </c>
      <c r="C94" s="47"/>
      <c r="D94" s="37"/>
      <c r="E94" s="31" t="s">
        <v>572</v>
      </c>
      <c r="F94" s="34" t="str">
        <f t="shared" si="1"/>
        <v/>
      </c>
      <c r="G94" s="45"/>
      <c r="H94" s="46"/>
      <c r="I94" s="157">
        <v>1.6324599999999998E-2</v>
      </c>
    </row>
    <row r="95" spans="1:9" ht="15.75" thickBot="1" x14ac:dyDescent="0.3">
      <c r="A95" s="239"/>
      <c r="B95" s="36" t="s">
        <v>572</v>
      </c>
      <c r="C95" s="36"/>
      <c r="D95" s="93"/>
      <c r="E95" s="31" t="s">
        <v>572</v>
      </c>
      <c r="F95" s="31" t="str">
        <f t="shared" si="1"/>
        <v/>
      </c>
      <c r="G95" s="35"/>
      <c r="H95" s="31"/>
      <c r="I95" s="157">
        <v>1.6324599999999998E-2</v>
      </c>
    </row>
    <row r="96" spans="1:9" ht="15.75" hidden="1" thickBot="1" x14ac:dyDescent="0.3">
      <c r="A96" s="240" t="s">
        <v>265</v>
      </c>
      <c r="B96" s="41" t="s">
        <v>572</v>
      </c>
      <c r="C96" s="26" t="s">
        <v>124</v>
      </c>
      <c r="D96" s="94"/>
      <c r="E96" s="42" t="s">
        <v>572</v>
      </c>
      <c r="F96" s="42" t="str">
        <f t="shared" si="1"/>
        <v/>
      </c>
      <c r="G96" s="29"/>
      <c r="H96" s="30"/>
      <c r="I96" s="157">
        <v>0</v>
      </c>
    </row>
    <row r="97" spans="1:9" ht="15.75" hidden="1" thickBot="1" x14ac:dyDescent="0.3">
      <c r="A97" s="239"/>
      <c r="B97" s="32" t="s">
        <v>572</v>
      </c>
      <c r="C97" s="32"/>
      <c r="D97" s="92"/>
      <c r="E97" s="43" t="s">
        <v>572</v>
      </c>
      <c r="F97" s="31" t="str">
        <f t="shared" si="1"/>
        <v/>
      </c>
      <c r="G97" s="35"/>
      <c r="H97" s="31"/>
      <c r="I97" s="157">
        <v>0</v>
      </c>
    </row>
    <row r="98" spans="1:9" ht="15.75" hidden="1" customHeight="1" x14ac:dyDescent="0.3">
      <c r="A98" s="239"/>
      <c r="B98" s="36" t="s">
        <v>117</v>
      </c>
      <c r="C98" s="36" t="s">
        <v>124</v>
      </c>
      <c r="D98" s="37">
        <v>1.1499999999999999</v>
      </c>
      <c r="E98" s="34">
        <v>90.25</v>
      </c>
      <c r="F98" s="34">
        <f t="shared" si="1"/>
        <v>103.78749999999999</v>
      </c>
      <c r="G98" s="45">
        <f>SUM(F98:F102)</f>
        <v>472.92951480500005</v>
      </c>
      <c r="H98" s="46"/>
      <c r="I98" s="157">
        <v>0</v>
      </c>
    </row>
    <row r="99" spans="1:9" ht="15.75" hidden="1" thickBot="1" x14ac:dyDescent="0.3">
      <c r="A99" s="239"/>
      <c r="B99" s="36" t="s">
        <v>118</v>
      </c>
      <c r="C99" s="36" t="s">
        <v>957</v>
      </c>
      <c r="D99" s="37">
        <v>389.54</v>
      </c>
      <c r="E99" s="34">
        <v>0.47499999999999998</v>
      </c>
      <c r="F99" s="34">
        <f t="shared" si="1"/>
        <v>185.03149999999999</v>
      </c>
      <c r="G99" s="45"/>
      <c r="H99" s="46"/>
      <c r="I99" s="157">
        <v>0</v>
      </c>
    </row>
    <row r="100" spans="1:9" ht="15.75" hidden="1" thickBot="1" x14ac:dyDescent="0.3">
      <c r="A100" s="239"/>
      <c r="B100" s="36" t="s">
        <v>1511</v>
      </c>
      <c r="C100" s="36" t="s">
        <v>759</v>
      </c>
      <c r="D100" s="37">
        <v>8.2899999999999991</v>
      </c>
      <c r="E100" s="31">
        <v>16.311500000000002</v>
      </c>
      <c r="F100" s="34">
        <f t="shared" si="1"/>
        <v>135.22233500000002</v>
      </c>
      <c r="G100" s="45"/>
      <c r="H100" s="46"/>
      <c r="I100" s="157">
        <v>0</v>
      </c>
    </row>
    <row r="101" spans="1:9" ht="51.75" hidden="1" thickBot="1" x14ac:dyDescent="0.3">
      <c r="A101" s="239"/>
      <c r="B101" s="36" t="s">
        <v>3619</v>
      </c>
      <c r="C101" s="36" t="s">
        <v>124</v>
      </c>
      <c r="D101" s="37">
        <f>ROUND(1*D98,4)</f>
        <v>1.1499999999999999</v>
      </c>
      <c r="E101" s="31">
        <v>5.6237587000000007</v>
      </c>
      <c r="F101" s="34">
        <f t="shared" si="1"/>
        <v>6.4673225050000003</v>
      </c>
      <c r="G101" s="45"/>
      <c r="H101" s="46"/>
      <c r="I101" s="157">
        <v>0</v>
      </c>
    </row>
    <row r="102" spans="1:9" ht="39" hidden="1" thickBot="1" x14ac:dyDescent="0.3">
      <c r="A102" s="239"/>
      <c r="B102" s="36" t="s">
        <v>3616</v>
      </c>
      <c r="C102" s="47" t="s">
        <v>126</v>
      </c>
      <c r="D102" s="37">
        <f>ROUND(D98*20,4)</f>
        <v>23</v>
      </c>
      <c r="E102" s="31">
        <v>1.8443850999999998</v>
      </c>
      <c r="F102" s="34">
        <f t="shared" si="1"/>
        <v>42.420857299999994</v>
      </c>
      <c r="G102" s="45"/>
      <c r="H102" s="46"/>
      <c r="I102" s="157">
        <v>0</v>
      </c>
    </row>
    <row r="103" spans="1:9" ht="15.75" hidden="1" thickBot="1" x14ac:dyDescent="0.3">
      <c r="A103" s="239"/>
      <c r="B103" s="51"/>
      <c r="C103" s="47"/>
      <c r="D103" s="37"/>
      <c r="E103" s="31" t="s">
        <v>572</v>
      </c>
      <c r="F103" s="34" t="str">
        <f t="shared" si="1"/>
        <v/>
      </c>
      <c r="G103" s="45"/>
      <c r="H103" s="46"/>
      <c r="I103" s="157">
        <v>0</v>
      </c>
    </row>
    <row r="104" spans="1:9" ht="15.75" hidden="1" customHeight="1" x14ac:dyDescent="0.3">
      <c r="A104" s="239"/>
      <c r="B104" s="48" t="s">
        <v>812</v>
      </c>
      <c r="C104" s="47"/>
      <c r="D104" s="37"/>
      <c r="E104" s="31" t="s">
        <v>572</v>
      </c>
      <c r="F104" s="34" t="str">
        <f t="shared" si="1"/>
        <v/>
      </c>
      <c r="G104" s="45"/>
      <c r="H104" s="46"/>
      <c r="I104" s="157">
        <v>0</v>
      </c>
    </row>
    <row r="105" spans="1:9" ht="15.75" hidden="1" thickBot="1" x14ac:dyDescent="0.3">
      <c r="A105" s="239"/>
      <c r="B105" s="36" t="s">
        <v>572</v>
      </c>
      <c r="C105" s="36"/>
      <c r="D105" s="93"/>
      <c r="E105" s="31" t="s">
        <v>572</v>
      </c>
      <c r="F105" s="31" t="str">
        <f t="shared" si="1"/>
        <v/>
      </c>
      <c r="G105" s="35"/>
      <c r="H105" s="31"/>
      <c r="I105" s="157">
        <v>0</v>
      </c>
    </row>
    <row r="106" spans="1:9" ht="15.75" hidden="1" thickBot="1" x14ac:dyDescent="0.3">
      <c r="A106" s="240" t="s">
        <v>516</v>
      </c>
      <c r="B106" s="41" t="s">
        <v>572</v>
      </c>
      <c r="C106" s="26" t="s">
        <v>527</v>
      </c>
      <c r="D106" s="94"/>
      <c r="E106" s="42" t="s">
        <v>572</v>
      </c>
      <c r="F106" s="42" t="str">
        <f t="shared" si="1"/>
        <v/>
      </c>
      <c r="G106" s="29"/>
      <c r="H106" s="30"/>
      <c r="I106" s="157">
        <v>0</v>
      </c>
    </row>
    <row r="107" spans="1:9" ht="15.75" hidden="1" thickBot="1" x14ac:dyDescent="0.3">
      <c r="A107" s="239"/>
      <c r="B107" s="32" t="s">
        <v>572</v>
      </c>
      <c r="C107" s="32"/>
      <c r="D107" s="92"/>
      <c r="E107" s="43" t="s">
        <v>572</v>
      </c>
      <c r="F107" s="31" t="str">
        <f t="shared" si="1"/>
        <v/>
      </c>
      <c r="G107" s="35"/>
      <c r="H107" s="31"/>
      <c r="I107" s="157">
        <v>0</v>
      </c>
    </row>
    <row r="108" spans="1:9" ht="26.25" hidden="1" thickBot="1" x14ac:dyDescent="0.3">
      <c r="A108" s="239"/>
      <c r="B108" s="36" t="s">
        <v>1513</v>
      </c>
      <c r="C108" s="36" t="s">
        <v>299</v>
      </c>
      <c r="D108" s="37">
        <v>0.33300000000000002</v>
      </c>
      <c r="E108" s="34">
        <v>1.1114999999999999</v>
      </c>
      <c r="F108" s="34">
        <f t="shared" si="1"/>
        <v>0.3701295</v>
      </c>
      <c r="G108" s="45">
        <f>SUM(F108:F110)</f>
        <v>1.2113545000000001</v>
      </c>
      <c r="H108" s="46"/>
      <c r="I108" s="157">
        <v>0</v>
      </c>
    </row>
    <row r="109" spans="1:9" ht="26.25" hidden="1" thickBot="1" x14ac:dyDescent="0.3">
      <c r="A109" s="239"/>
      <c r="B109" s="36" t="s">
        <v>110</v>
      </c>
      <c r="C109" s="36" t="s">
        <v>759</v>
      </c>
      <c r="D109" s="37">
        <v>5.0000000000000001E-3</v>
      </c>
      <c r="E109" s="31">
        <v>16.891000000000002</v>
      </c>
      <c r="F109" s="34">
        <f t="shared" si="1"/>
        <v>8.4455000000000016E-2</v>
      </c>
      <c r="G109" s="45"/>
      <c r="H109" s="46"/>
      <c r="I109" s="157">
        <v>0</v>
      </c>
    </row>
    <row r="110" spans="1:9" ht="15.75" hidden="1" customHeight="1" x14ac:dyDescent="0.3">
      <c r="A110" s="239"/>
      <c r="B110" s="36" t="s">
        <v>1512</v>
      </c>
      <c r="C110" s="36" t="s">
        <v>759</v>
      </c>
      <c r="D110" s="37">
        <v>3.5000000000000003E-2</v>
      </c>
      <c r="E110" s="31">
        <v>21.622</v>
      </c>
      <c r="F110" s="34">
        <f t="shared" si="1"/>
        <v>0.75677000000000005</v>
      </c>
      <c r="G110" s="45"/>
      <c r="H110" s="46"/>
      <c r="I110" s="157">
        <v>0</v>
      </c>
    </row>
    <row r="111" spans="1:9" ht="15.75" hidden="1" thickBot="1" x14ac:dyDescent="0.3">
      <c r="A111" s="239"/>
      <c r="B111" s="36" t="s">
        <v>572</v>
      </c>
      <c r="C111" s="36"/>
      <c r="D111" s="93"/>
      <c r="E111" s="31" t="s">
        <v>572</v>
      </c>
      <c r="F111" s="31" t="str">
        <f t="shared" si="1"/>
        <v/>
      </c>
      <c r="G111" s="35"/>
      <c r="H111" s="31"/>
      <c r="I111" s="157">
        <v>0</v>
      </c>
    </row>
    <row r="112" spans="1:9" ht="15.75" hidden="1" thickBot="1" x14ac:dyDescent="0.3">
      <c r="A112" s="240" t="s">
        <v>531</v>
      </c>
      <c r="B112" s="41" t="s">
        <v>572</v>
      </c>
      <c r="C112" s="26" t="s">
        <v>299</v>
      </c>
      <c r="D112" s="94"/>
      <c r="E112" s="42" t="s">
        <v>572</v>
      </c>
      <c r="F112" s="42" t="str">
        <f t="shared" si="1"/>
        <v/>
      </c>
      <c r="G112" s="29"/>
      <c r="H112" s="30"/>
      <c r="I112" s="157">
        <v>0</v>
      </c>
    </row>
    <row r="113" spans="1:9" ht="15.75" hidden="1" thickBot="1" x14ac:dyDescent="0.3">
      <c r="A113" s="239"/>
      <c r="B113" s="32" t="s">
        <v>572</v>
      </c>
      <c r="C113" s="32"/>
      <c r="D113" s="92"/>
      <c r="E113" s="43" t="s">
        <v>572</v>
      </c>
      <c r="F113" s="31" t="str">
        <f t="shared" si="1"/>
        <v/>
      </c>
      <c r="G113" s="35"/>
      <c r="H113" s="31"/>
      <c r="I113" s="157">
        <v>0</v>
      </c>
    </row>
    <row r="114" spans="1:9" ht="26.25" hidden="1" thickBot="1" x14ac:dyDescent="0.3">
      <c r="A114" s="239"/>
      <c r="B114" s="36" t="s">
        <v>1525</v>
      </c>
      <c r="C114" s="36" t="s">
        <v>299</v>
      </c>
      <c r="D114" s="37">
        <v>1</v>
      </c>
      <c r="E114" s="34">
        <v>1.7384999999999999</v>
      </c>
      <c r="F114" s="34">
        <f t="shared" si="1"/>
        <v>1.7384999999999999</v>
      </c>
      <c r="G114" s="45">
        <f>SUM(F114:F116)</f>
        <v>8.9796317999999999</v>
      </c>
      <c r="H114" s="46"/>
      <c r="I114" s="157">
        <v>0</v>
      </c>
    </row>
    <row r="115" spans="1:9" ht="15.75" hidden="1" thickBot="1" x14ac:dyDescent="0.3">
      <c r="A115" s="239"/>
      <c r="B115" s="36" t="s">
        <v>74</v>
      </c>
      <c r="C115" s="36" t="s">
        <v>759</v>
      </c>
      <c r="D115" s="37">
        <v>0.1827</v>
      </c>
      <c r="E115" s="31">
        <v>17.366</v>
      </c>
      <c r="F115" s="34">
        <f t="shared" si="1"/>
        <v>3.1727682000000001</v>
      </c>
      <c r="G115" s="45"/>
      <c r="H115" s="46"/>
      <c r="I115" s="157">
        <v>0</v>
      </c>
    </row>
    <row r="116" spans="1:9" ht="15.75" hidden="1" customHeight="1" x14ac:dyDescent="0.3">
      <c r="A116" s="239"/>
      <c r="B116" s="36" t="s">
        <v>30</v>
      </c>
      <c r="C116" s="36" t="s">
        <v>759</v>
      </c>
      <c r="D116" s="37">
        <v>0.1827</v>
      </c>
      <c r="E116" s="31">
        <v>22.268000000000001</v>
      </c>
      <c r="F116" s="34">
        <f t="shared" si="1"/>
        <v>4.0683636000000005</v>
      </c>
      <c r="G116" s="45"/>
      <c r="H116" s="46"/>
      <c r="I116" s="157">
        <v>0</v>
      </c>
    </row>
    <row r="117" spans="1:9" ht="15.75" hidden="1" thickBot="1" x14ac:dyDescent="0.3">
      <c r="A117" s="239"/>
      <c r="B117" s="36" t="s">
        <v>572</v>
      </c>
      <c r="C117" s="36"/>
      <c r="D117" s="93"/>
      <c r="E117" s="31" t="s">
        <v>572</v>
      </c>
      <c r="F117" s="31" t="str">
        <f t="shared" si="1"/>
        <v/>
      </c>
      <c r="G117" s="35"/>
      <c r="H117" s="31"/>
      <c r="I117" s="157">
        <v>0</v>
      </c>
    </row>
    <row r="118" spans="1:9" ht="15.75" hidden="1" thickBot="1" x14ac:dyDescent="0.3">
      <c r="A118" s="240" t="s">
        <v>523</v>
      </c>
      <c r="B118" s="41" t="s">
        <v>572</v>
      </c>
      <c r="C118" s="26" t="s">
        <v>299</v>
      </c>
      <c r="D118" s="94"/>
      <c r="E118" s="42" t="s">
        <v>572</v>
      </c>
      <c r="F118" s="42" t="str">
        <f t="shared" si="1"/>
        <v/>
      </c>
      <c r="G118" s="29"/>
      <c r="H118" s="30"/>
      <c r="I118" s="157">
        <v>0</v>
      </c>
    </row>
    <row r="119" spans="1:9" ht="15.75" hidden="1" thickBot="1" x14ac:dyDescent="0.3">
      <c r="A119" s="239"/>
      <c r="B119" s="32" t="s">
        <v>572</v>
      </c>
      <c r="C119" s="32"/>
      <c r="D119" s="92"/>
      <c r="E119" s="43" t="s">
        <v>572</v>
      </c>
      <c r="F119" s="31" t="str">
        <f t="shared" si="1"/>
        <v/>
      </c>
      <c r="G119" s="35"/>
      <c r="H119" s="31"/>
      <c r="I119" s="157">
        <v>0</v>
      </c>
    </row>
    <row r="120" spans="1:9" ht="26.25" hidden="1" thickBot="1" x14ac:dyDescent="0.3">
      <c r="A120" s="239"/>
      <c r="B120" s="36" t="s">
        <v>1526</v>
      </c>
      <c r="C120" s="36" t="s">
        <v>299</v>
      </c>
      <c r="D120" s="37">
        <v>1</v>
      </c>
      <c r="E120" s="34">
        <v>2.0234999999999999</v>
      </c>
      <c r="F120" s="34">
        <f t="shared" si="1"/>
        <v>2.0234999999999999</v>
      </c>
      <c r="G120" s="45">
        <f>SUM(F120:F122)</f>
        <v>10.081092200000001</v>
      </c>
      <c r="H120" s="46"/>
      <c r="I120" s="157">
        <v>0</v>
      </c>
    </row>
    <row r="121" spans="1:9" ht="15.75" hidden="1" thickBot="1" x14ac:dyDescent="0.3">
      <c r="A121" s="239"/>
      <c r="B121" s="36" t="s">
        <v>74</v>
      </c>
      <c r="C121" s="36" t="s">
        <v>759</v>
      </c>
      <c r="D121" s="37">
        <v>0.20330000000000001</v>
      </c>
      <c r="E121" s="31">
        <v>17.366</v>
      </c>
      <c r="F121" s="34">
        <f t="shared" si="1"/>
        <v>3.5305078000000001</v>
      </c>
      <c r="G121" s="45"/>
      <c r="H121" s="46"/>
      <c r="I121" s="157">
        <v>0</v>
      </c>
    </row>
    <row r="122" spans="1:9" ht="15.75" hidden="1" customHeight="1" x14ac:dyDescent="0.3">
      <c r="A122" s="239"/>
      <c r="B122" s="36" t="s">
        <v>30</v>
      </c>
      <c r="C122" s="36" t="s">
        <v>759</v>
      </c>
      <c r="D122" s="37">
        <v>0.20330000000000001</v>
      </c>
      <c r="E122" s="31">
        <v>22.268000000000001</v>
      </c>
      <c r="F122" s="34">
        <f t="shared" si="1"/>
        <v>4.5270844000000006</v>
      </c>
      <c r="G122" s="45"/>
      <c r="H122" s="46"/>
      <c r="I122" s="157">
        <v>0</v>
      </c>
    </row>
    <row r="123" spans="1:9" ht="15.75" hidden="1" thickBot="1" x14ac:dyDescent="0.3">
      <c r="A123" s="239"/>
      <c r="B123" s="36" t="s">
        <v>572</v>
      </c>
      <c r="C123" s="36"/>
      <c r="D123" s="93"/>
      <c r="E123" s="31" t="s">
        <v>572</v>
      </c>
      <c r="F123" s="31" t="str">
        <f t="shared" si="1"/>
        <v/>
      </c>
      <c r="G123" s="35"/>
      <c r="H123" s="31"/>
      <c r="I123" s="157">
        <v>0</v>
      </c>
    </row>
    <row r="124" spans="1:9" ht="15.75" hidden="1" thickBot="1" x14ac:dyDescent="0.3">
      <c r="A124" s="240" t="s">
        <v>520</v>
      </c>
      <c r="B124" s="41" t="s">
        <v>572</v>
      </c>
      <c r="C124" s="26" t="s">
        <v>299</v>
      </c>
      <c r="D124" s="94"/>
      <c r="E124" s="42" t="s">
        <v>572</v>
      </c>
      <c r="F124" s="42" t="str">
        <f t="shared" si="1"/>
        <v/>
      </c>
      <c r="G124" s="29"/>
      <c r="H124" s="30"/>
      <c r="I124" s="157">
        <v>0</v>
      </c>
    </row>
    <row r="125" spans="1:9" ht="15.75" hidden="1" thickBot="1" x14ac:dyDescent="0.3">
      <c r="A125" s="239"/>
      <c r="B125" s="32" t="s">
        <v>572</v>
      </c>
      <c r="C125" s="32"/>
      <c r="D125" s="92"/>
      <c r="E125" s="43" t="s">
        <v>572</v>
      </c>
      <c r="F125" s="31" t="str">
        <f t="shared" si="1"/>
        <v/>
      </c>
      <c r="G125" s="35"/>
      <c r="H125" s="31"/>
      <c r="I125" s="157">
        <v>0</v>
      </c>
    </row>
    <row r="126" spans="1:9" ht="26.25" hidden="1" thickBot="1" x14ac:dyDescent="0.3">
      <c r="A126" s="239"/>
      <c r="B126" s="36" t="s">
        <v>1527</v>
      </c>
      <c r="C126" s="36" t="s">
        <v>299</v>
      </c>
      <c r="D126" s="37">
        <v>1</v>
      </c>
      <c r="E126" s="34">
        <v>3.5909999999999997</v>
      </c>
      <c r="F126" s="34">
        <f t="shared" si="1"/>
        <v>3.5909999999999997</v>
      </c>
      <c r="G126" s="45">
        <f>SUM(F126:F128)</f>
        <v>12.794014799999999</v>
      </c>
      <c r="H126" s="46"/>
      <c r="I126" s="157">
        <v>0</v>
      </c>
    </row>
    <row r="127" spans="1:9" ht="15.75" hidden="1" thickBot="1" x14ac:dyDescent="0.3">
      <c r="A127" s="239"/>
      <c r="B127" s="36" t="s">
        <v>74</v>
      </c>
      <c r="C127" s="36" t="s">
        <v>759</v>
      </c>
      <c r="D127" s="37">
        <v>0.23219999999999999</v>
      </c>
      <c r="E127" s="31">
        <v>17.366</v>
      </c>
      <c r="F127" s="34">
        <f t="shared" si="1"/>
        <v>4.0323851999999993</v>
      </c>
      <c r="G127" s="45"/>
      <c r="H127" s="46"/>
      <c r="I127" s="157">
        <v>0</v>
      </c>
    </row>
    <row r="128" spans="1:9" ht="15.75" hidden="1" customHeight="1" x14ac:dyDescent="0.3">
      <c r="A128" s="239"/>
      <c r="B128" s="36" t="s">
        <v>30</v>
      </c>
      <c r="C128" s="36" t="s">
        <v>759</v>
      </c>
      <c r="D128" s="37">
        <v>0.23219999999999999</v>
      </c>
      <c r="E128" s="31">
        <v>22.268000000000001</v>
      </c>
      <c r="F128" s="34">
        <f t="shared" si="1"/>
        <v>5.1706295999999998</v>
      </c>
      <c r="G128" s="45"/>
      <c r="H128" s="46"/>
      <c r="I128" s="157">
        <v>0</v>
      </c>
    </row>
    <row r="129" spans="1:9" ht="15.75" hidden="1" thickBot="1" x14ac:dyDescent="0.3">
      <c r="A129" s="239"/>
      <c r="B129" s="36" t="s">
        <v>572</v>
      </c>
      <c r="C129" s="36"/>
      <c r="D129" s="93"/>
      <c r="E129" s="31" t="s">
        <v>572</v>
      </c>
      <c r="F129" s="31" t="str">
        <f t="shared" si="1"/>
        <v/>
      </c>
      <c r="G129" s="35"/>
      <c r="H129" s="31"/>
      <c r="I129" s="157">
        <v>0</v>
      </c>
    </row>
    <row r="130" spans="1:9" ht="15.75" hidden="1" thickBot="1" x14ac:dyDescent="0.3">
      <c r="A130" s="240" t="s">
        <v>517</v>
      </c>
      <c r="B130" s="41" t="s">
        <v>572</v>
      </c>
      <c r="C130" s="26" t="s">
        <v>299</v>
      </c>
      <c r="D130" s="94"/>
      <c r="E130" s="42" t="s">
        <v>572</v>
      </c>
      <c r="F130" s="42" t="str">
        <f t="shared" si="1"/>
        <v/>
      </c>
      <c r="G130" s="29"/>
      <c r="H130" s="30"/>
      <c r="I130" s="157">
        <v>0</v>
      </c>
    </row>
    <row r="131" spans="1:9" ht="15.75" hidden="1" thickBot="1" x14ac:dyDescent="0.3">
      <c r="A131" s="239"/>
      <c r="B131" s="32" t="s">
        <v>572</v>
      </c>
      <c r="C131" s="32"/>
      <c r="D131" s="92"/>
      <c r="E131" s="43" t="s">
        <v>572</v>
      </c>
      <c r="F131" s="31" t="str">
        <f t="shared" si="1"/>
        <v/>
      </c>
      <c r="G131" s="35"/>
      <c r="H131" s="31"/>
      <c r="I131" s="157">
        <v>0</v>
      </c>
    </row>
    <row r="132" spans="1:9" ht="26.25" hidden="1" thickBot="1" x14ac:dyDescent="0.3">
      <c r="A132" s="239"/>
      <c r="B132" s="36" t="s">
        <v>1528</v>
      </c>
      <c r="C132" s="36" t="s">
        <v>299</v>
      </c>
      <c r="D132" s="37">
        <v>1</v>
      </c>
      <c r="E132" s="34">
        <v>5.2060000000000004</v>
      </c>
      <c r="F132" s="34">
        <f t="shared" si="1"/>
        <v>5.2060000000000004</v>
      </c>
      <c r="G132" s="45">
        <f>SUM(F132:F134)</f>
        <v>15.712973400000001</v>
      </c>
      <c r="H132" s="46"/>
      <c r="I132" s="157">
        <v>0</v>
      </c>
    </row>
    <row r="133" spans="1:9" ht="15.75" hidden="1" thickBot="1" x14ac:dyDescent="0.3">
      <c r="A133" s="239"/>
      <c r="B133" s="36" t="s">
        <v>74</v>
      </c>
      <c r="C133" s="36" t="s">
        <v>759</v>
      </c>
      <c r="D133" s="37">
        <v>0.2651</v>
      </c>
      <c r="E133" s="31">
        <v>17.366</v>
      </c>
      <c r="F133" s="34">
        <f t="shared" si="1"/>
        <v>4.6037265999999999</v>
      </c>
      <c r="G133" s="45"/>
      <c r="H133" s="46"/>
      <c r="I133" s="157">
        <v>0</v>
      </c>
    </row>
    <row r="134" spans="1:9" ht="15.75" hidden="1" customHeight="1" x14ac:dyDescent="0.3">
      <c r="A134" s="239"/>
      <c r="B134" s="36" t="s">
        <v>30</v>
      </c>
      <c r="C134" s="36" t="s">
        <v>759</v>
      </c>
      <c r="D134" s="37">
        <v>0.2651</v>
      </c>
      <c r="E134" s="31">
        <v>22.268000000000001</v>
      </c>
      <c r="F134" s="34">
        <f t="shared" ref="F134:F197" si="2">IF(ISNUMBER(E134),E134*$D134,"")</f>
        <v>5.9032467999999998</v>
      </c>
      <c r="G134" s="45"/>
      <c r="H134" s="46"/>
      <c r="I134" s="157">
        <v>0</v>
      </c>
    </row>
    <row r="135" spans="1:9" ht="15.75" hidden="1" thickBot="1" x14ac:dyDescent="0.3">
      <c r="A135" s="239"/>
      <c r="B135" s="36" t="s">
        <v>572</v>
      </c>
      <c r="C135" s="36"/>
      <c r="D135" s="93"/>
      <c r="E135" s="31" t="s">
        <v>572</v>
      </c>
      <c r="F135" s="31" t="str">
        <f t="shared" si="2"/>
        <v/>
      </c>
      <c r="G135" s="35"/>
      <c r="H135" s="31"/>
      <c r="I135" s="157">
        <v>0</v>
      </c>
    </row>
    <row r="136" spans="1:9" ht="15.75" hidden="1" thickBot="1" x14ac:dyDescent="0.3">
      <c r="A136" s="240" t="s">
        <v>528</v>
      </c>
      <c r="B136" s="41" t="s">
        <v>572</v>
      </c>
      <c r="C136" s="26" t="s">
        <v>299</v>
      </c>
      <c r="D136" s="94"/>
      <c r="E136" s="42" t="s">
        <v>572</v>
      </c>
      <c r="F136" s="42" t="str">
        <f t="shared" si="2"/>
        <v/>
      </c>
      <c r="G136" s="29"/>
      <c r="H136" s="30"/>
      <c r="I136" s="157">
        <v>0</v>
      </c>
    </row>
    <row r="137" spans="1:9" ht="15.75" hidden="1" thickBot="1" x14ac:dyDescent="0.3">
      <c r="A137" s="239"/>
      <c r="B137" s="32" t="s">
        <v>572</v>
      </c>
      <c r="C137" s="32"/>
      <c r="D137" s="92"/>
      <c r="E137" s="43" t="s">
        <v>572</v>
      </c>
      <c r="F137" s="31" t="str">
        <f t="shared" si="2"/>
        <v/>
      </c>
      <c r="G137" s="35"/>
      <c r="H137" s="31"/>
      <c r="I137" s="157">
        <v>0</v>
      </c>
    </row>
    <row r="138" spans="1:9" ht="26.25" hidden="1" thickBot="1" x14ac:dyDescent="0.3">
      <c r="A138" s="239"/>
      <c r="B138" s="36" t="s">
        <v>1529</v>
      </c>
      <c r="C138" s="36" t="s">
        <v>299</v>
      </c>
      <c r="D138" s="37">
        <v>1</v>
      </c>
      <c r="E138" s="34">
        <v>7.2579999999999991</v>
      </c>
      <c r="F138" s="34">
        <f t="shared" si="2"/>
        <v>7.2579999999999991</v>
      </c>
      <c r="G138" s="45">
        <f>SUM(F138:F140)</f>
        <v>17.764973399999999</v>
      </c>
      <c r="H138" s="46"/>
      <c r="I138" s="157">
        <v>0</v>
      </c>
    </row>
    <row r="139" spans="1:9" ht="15.75" hidden="1" thickBot="1" x14ac:dyDescent="0.3">
      <c r="A139" s="239"/>
      <c r="B139" s="36" t="s">
        <v>74</v>
      </c>
      <c r="C139" s="36" t="s">
        <v>759</v>
      </c>
      <c r="D139" s="37">
        <v>0.2651</v>
      </c>
      <c r="E139" s="31">
        <v>17.366</v>
      </c>
      <c r="F139" s="34">
        <f t="shared" si="2"/>
        <v>4.6037265999999999</v>
      </c>
      <c r="G139" s="45"/>
      <c r="H139" s="46"/>
      <c r="I139" s="157">
        <v>0</v>
      </c>
    </row>
    <row r="140" spans="1:9" ht="26.25" hidden="1" customHeight="1" x14ac:dyDescent="0.3">
      <c r="A140" s="239"/>
      <c r="B140" s="36" t="s">
        <v>30</v>
      </c>
      <c r="C140" s="36" t="s">
        <v>759</v>
      </c>
      <c r="D140" s="37">
        <v>0.2651</v>
      </c>
      <c r="E140" s="31">
        <v>22.268000000000001</v>
      </c>
      <c r="F140" s="34">
        <f t="shared" si="2"/>
        <v>5.9032467999999998</v>
      </c>
      <c r="G140" s="45"/>
      <c r="H140" s="46"/>
      <c r="I140" s="157">
        <v>0</v>
      </c>
    </row>
    <row r="141" spans="1:9" ht="15.75" hidden="1" thickBot="1" x14ac:dyDescent="0.3">
      <c r="A141" s="239"/>
      <c r="B141" s="36" t="s">
        <v>572</v>
      </c>
      <c r="C141" s="36"/>
      <c r="D141" s="93"/>
      <c r="E141" s="31" t="s">
        <v>572</v>
      </c>
      <c r="F141" s="31" t="str">
        <f t="shared" si="2"/>
        <v/>
      </c>
      <c r="G141" s="35"/>
      <c r="H141" s="31"/>
      <c r="I141" s="157">
        <v>0</v>
      </c>
    </row>
    <row r="142" spans="1:9" ht="15.75" hidden="1" thickBot="1" x14ac:dyDescent="0.3">
      <c r="A142" s="240" t="s">
        <v>1546</v>
      </c>
      <c r="B142" s="41" t="s">
        <v>572</v>
      </c>
      <c r="C142" s="26" t="s">
        <v>527</v>
      </c>
      <c r="D142" s="94"/>
      <c r="E142" s="42" t="s">
        <v>572</v>
      </c>
      <c r="F142" s="42" t="str">
        <f t="shared" si="2"/>
        <v/>
      </c>
      <c r="G142" s="29"/>
      <c r="H142" s="30"/>
      <c r="I142" s="157">
        <v>0</v>
      </c>
    </row>
    <row r="143" spans="1:9" ht="15.75" hidden="1" thickBot="1" x14ac:dyDescent="0.3">
      <c r="A143" s="239"/>
      <c r="B143" s="32" t="s">
        <v>572</v>
      </c>
      <c r="C143" s="32"/>
      <c r="D143" s="92"/>
      <c r="E143" s="98" t="s">
        <v>572</v>
      </c>
      <c r="F143" s="99" t="str">
        <f t="shared" si="2"/>
        <v/>
      </c>
      <c r="G143" s="35"/>
      <c r="H143" s="31"/>
      <c r="I143" s="157">
        <v>0</v>
      </c>
    </row>
    <row r="144" spans="1:9" ht="26.25" hidden="1" thickBot="1" x14ac:dyDescent="0.3">
      <c r="A144" s="239"/>
      <c r="B144" s="36" t="s">
        <v>1547</v>
      </c>
      <c r="C144" s="36" t="s">
        <v>299</v>
      </c>
      <c r="D144" s="37">
        <v>0.33300000000000002</v>
      </c>
      <c r="E144" s="34">
        <v>2.2894999999999999</v>
      </c>
      <c r="F144" s="34">
        <f t="shared" si="2"/>
        <v>0.76240350000000001</v>
      </c>
      <c r="G144" s="45">
        <f>SUM(F144:F146)</f>
        <v>2.3630965000000002</v>
      </c>
      <c r="H144" s="46"/>
      <c r="I144" s="157">
        <v>0</v>
      </c>
    </row>
    <row r="145" spans="1:9" ht="26.25" hidden="1" thickBot="1" x14ac:dyDescent="0.3">
      <c r="A145" s="239"/>
      <c r="B145" s="36" t="s">
        <v>110</v>
      </c>
      <c r="C145" s="36" t="s">
        <v>759</v>
      </c>
      <c r="D145" s="37">
        <v>8.9999999999999993E-3</v>
      </c>
      <c r="E145" s="31">
        <v>16.891000000000002</v>
      </c>
      <c r="F145" s="34">
        <f t="shared" si="2"/>
        <v>0.15201900000000002</v>
      </c>
      <c r="G145" s="45"/>
      <c r="H145" s="46"/>
      <c r="I145" s="157">
        <v>0</v>
      </c>
    </row>
    <row r="146" spans="1:9" ht="15.75" hidden="1" thickBot="1" x14ac:dyDescent="0.3">
      <c r="A146" s="239"/>
      <c r="B146" s="36" t="s">
        <v>1512</v>
      </c>
      <c r="C146" s="36" t="s">
        <v>759</v>
      </c>
      <c r="D146" s="37">
        <v>6.7000000000000004E-2</v>
      </c>
      <c r="E146" s="31">
        <v>21.622</v>
      </c>
      <c r="F146" s="34">
        <f t="shared" si="2"/>
        <v>1.448674</v>
      </c>
      <c r="G146" s="45"/>
      <c r="H146" s="46"/>
      <c r="I146" s="157">
        <v>0</v>
      </c>
    </row>
    <row r="147" spans="1:9" ht="15.75" hidden="1" thickBot="1" x14ac:dyDescent="0.3">
      <c r="A147" s="239"/>
      <c r="B147" s="36" t="s">
        <v>572</v>
      </c>
      <c r="C147" s="36"/>
      <c r="D147" s="93"/>
      <c r="E147" s="31" t="s">
        <v>572</v>
      </c>
      <c r="F147" s="31" t="str">
        <f t="shared" si="2"/>
        <v/>
      </c>
      <c r="G147" s="35"/>
      <c r="H147" s="31"/>
      <c r="I147" s="157">
        <v>0</v>
      </c>
    </row>
    <row r="148" spans="1:9" ht="15.75" hidden="1" thickBot="1" x14ac:dyDescent="0.3">
      <c r="A148" s="240" t="s">
        <v>1530</v>
      </c>
      <c r="B148" s="41" t="s">
        <v>572</v>
      </c>
      <c r="C148" s="26" t="s">
        <v>527</v>
      </c>
      <c r="D148" s="94"/>
      <c r="E148" s="42" t="s">
        <v>572</v>
      </c>
      <c r="F148" s="42" t="str">
        <f t="shared" si="2"/>
        <v/>
      </c>
      <c r="G148" s="29"/>
      <c r="H148" s="30"/>
      <c r="I148" s="157">
        <v>0</v>
      </c>
    </row>
    <row r="149" spans="1:9" ht="15.75" hidden="1" thickBot="1" x14ac:dyDescent="0.3">
      <c r="A149" s="239"/>
      <c r="B149" s="32" t="s">
        <v>572</v>
      </c>
      <c r="C149" s="32"/>
      <c r="D149" s="92"/>
      <c r="E149" s="43" t="s">
        <v>572</v>
      </c>
      <c r="F149" s="31" t="str">
        <f t="shared" si="2"/>
        <v/>
      </c>
      <c r="G149" s="35"/>
      <c r="H149" s="31"/>
      <c r="I149" s="157">
        <v>0</v>
      </c>
    </row>
    <row r="150" spans="1:9" ht="26.25" hidden="1" thickBot="1" x14ac:dyDescent="0.3">
      <c r="A150" s="239"/>
      <c r="B150" s="36" t="s">
        <v>1531</v>
      </c>
      <c r="C150" s="36" t="s">
        <v>299</v>
      </c>
      <c r="D150" s="37">
        <v>0.33300000000000002</v>
      </c>
      <c r="E150" s="34">
        <v>2.5459999999999998</v>
      </c>
      <c r="F150" s="34">
        <f t="shared" si="2"/>
        <v>0.84781799999999996</v>
      </c>
      <c r="G150" s="45">
        <f>SUM(F150:F152)</f>
        <v>2.4485109999999999</v>
      </c>
      <c r="H150" s="46"/>
      <c r="I150" s="157">
        <v>0</v>
      </c>
    </row>
    <row r="151" spans="1:9" ht="26.25" hidden="1" thickBot="1" x14ac:dyDescent="0.3">
      <c r="A151" s="239"/>
      <c r="B151" s="36" t="s">
        <v>110</v>
      </c>
      <c r="C151" s="36" t="s">
        <v>759</v>
      </c>
      <c r="D151" s="37">
        <v>8.9999999999999993E-3</v>
      </c>
      <c r="E151" s="31">
        <v>16.891000000000002</v>
      </c>
      <c r="F151" s="34">
        <f t="shared" si="2"/>
        <v>0.15201900000000002</v>
      </c>
      <c r="G151" s="45"/>
      <c r="H151" s="46"/>
      <c r="I151" s="157">
        <v>0</v>
      </c>
    </row>
    <row r="152" spans="1:9" ht="15.75" hidden="1" thickBot="1" x14ac:dyDescent="0.3">
      <c r="A152" s="239"/>
      <c r="B152" s="36" t="s">
        <v>1512</v>
      </c>
      <c r="C152" s="36" t="s">
        <v>759</v>
      </c>
      <c r="D152" s="37">
        <v>6.7000000000000004E-2</v>
      </c>
      <c r="E152" s="31">
        <v>21.622</v>
      </c>
      <c r="F152" s="34">
        <f t="shared" si="2"/>
        <v>1.448674</v>
      </c>
      <c r="G152" s="45"/>
      <c r="H152" s="46"/>
      <c r="I152" s="157">
        <v>0</v>
      </c>
    </row>
    <row r="153" spans="1:9" ht="15.75" hidden="1" thickBot="1" x14ac:dyDescent="0.3">
      <c r="A153" s="239"/>
      <c r="B153" s="36" t="s">
        <v>572</v>
      </c>
      <c r="C153" s="36"/>
      <c r="D153" s="93"/>
      <c r="E153" s="31" t="s">
        <v>572</v>
      </c>
      <c r="F153" s="31" t="str">
        <f t="shared" si="2"/>
        <v/>
      </c>
      <c r="G153" s="35"/>
      <c r="H153" s="31"/>
      <c r="I153" s="157">
        <v>0</v>
      </c>
    </row>
    <row r="154" spans="1:9" ht="26.25" hidden="1" customHeight="1" thickBot="1" x14ac:dyDescent="0.3">
      <c r="A154" s="240" t="s">
        <v>170</v>
      </c>
      <c r="B154" s="41" t="s">
        <v>572</v>
      </c>
      <c r="C154" s="26" t="s">
        <v>124</v>
      </c>
      <c r="D154" s="94"/>
      <c r="E154" s="42" t="s">
        <v>572</v>
      </c>
      <c r="F154" s="42" t="str">
        <f t="shared" si="2"/>
        <v/>
      </c>
      <c r="G154" s="29"/>
      <c r="H154" s="30"/>
      <c r="I154" s="157">
        <v>0</v>
      </c>
    </row>
    <row r="155" spans="1:9" ht="15.75" hidden="1" thickBot="1" x14ac:dyDescent="0.3">
      <c r="A155" s="239"/>
      <c r="B155" s="32" t="s">
        <v>572</v>
      </c>
      <c r="C155" s="32"/>
      <c r="D155" s="92"/>
      <c r="E155" s="43" t="s">
        <v>572</v>
      </c>
      <c r="F155" s="31" t="str">
        <f t="shared" si="2"/>
        <v/>
      </c>
      <c r="G155" s="35"/>
      <c r="H155" s="31"/>
      <c r="I155" s="157">
        <v>0</v>
      </c>
    </row>
    <row r="156" spans="1:9" ht="15.75" hidden="1" thickBot="1" x14ac:dyDescent="0.3">
      <c r="A156" s="239"/>
      <c r="B156" s="36" t="s">
        <v>117</v>
      </c>
      <c r="C156" s="36" t="s">
        <v>124</v>
      </c>
      <c r="D156" s="37">
        <v>1.18</v>
      </c>
      <c r="E156" s="34">
        <v>90.25</v>
      </c>
      <c r="F156" s="34">
        <f t="shared" si="2"/>
        <v>106.49499999999999</v>
      </c>
      <c r="G156" s="45">
        <f>SUM(F156:F164)</f>
        <v>454.53510862600001</v>
      </c>
      <c r="H156" s="46"/>
      <c r="I156" s="157">
        <v>0</v>
      </c>
    </row>
    <row r="157" spans="1:9" ht="15.75" hidden="1" thickBot="1" x14ac:dyDescent="0.3">
      <c r="A157" s="239"/>
      <c r="B157" s="36" t="s">
        <v>1518</v>
      </c>
      <c r="C157" s="36" t="s">
        <v>957</v>
      </c>
      <c r="D157" s="37">
        <v>157.44</v>
      </c>
      <c r="E157" s="34">
        <v>0.85499999999999998</v>
      </c>
      <c r="F157" s="34">
        <f t="shared" si="2"/>
        <v>134.6112</v>
      </c>
      <c r="G157" s="45"/>
      <c r="H157" s="46"/>
      <c r="I157" s="157">
        <v>0</v>
      </c>
    </row>
    <row r="158" spans="1:9" ht="15.75" hidden="1" thickBot="1" x14ac:dyDescent="0.3">
      <c r="A158" s="239"/>
      <c r="B158" s="36" t="s">
        <v>118</v>
      </c>
      <c r="C158" s="36" t="s">
        <v>957</v>
      </c>
      <c r="D158" s="37">
        <v>177.12</v>
      </c>
      <c r="E158" s="34">
        <v>0.47499999999999998</v>
      </c>
      <c r="F158" s="34">
        <f t="shared" si="2"/>
        <v>84.132000000000005</v>
      </c>
      <c r="G158" s="45"/>
      <c r="H158" s="46"/>
      <c r="I158" s="157">
        <v>0</v>
      </c>
    </row>
    <row r="159" spans="1:9" ht="15.75" hidden="1" thickBot="1" x14ac:dyDescent="0.3">
      <c r="A159" s="239"/>
      <c r="B159" s="36" t="s">
        <v>1511</v>
      </c>
      <c r="C159" s="36" t="s">
        <v>759</v>
      </c>
      <c r="D159" s="37">
        <v>0.79</v>
      </c>
      <c r="E159" s="31">
        <v>16.311500000000002</v>
      </c>
      <c r="F159" s="34">
        <f t="shared" si="2"/>
        <v>12.886085000000003</v>
      </c>
      <c r="G159" s="45"/>
      <c r="H159" s="46"/>
      <c r="I159" s="157">
        <v>0</v>
      </c>
    </row>
    <row r="160" spans="1:9" ht="26.25" hidden="1" thickBot="1" x14ac:dyDescent="0.3">
      <c r="A160" s="239"/>
      <c r="B160" s="36" t="s">
        <v>120</v>
      </c>
      <c r="C160" s="36" t="s">
        <v>759</v>
      </c>
      <c r="D160" s="37">
        <v>3.65</v>
      </c>
      <c r="E160" s="31">
        <v>16.5015</v>
      </c>
      <c r="F160" s="34">
        <f t="shared" si="2"/>
        <v>60.230474999999998</v>
      </c>
      <c r="G160" s="45"/>
      <c r="H160" s="46"/>
      <c r="I160" s="157">
        <v>0</v>
      </c>
    </row>
    <row r="161" spans="1:9" ht="39" hidden="1" thickBot="1" x14ac:dyDescent="0.3">
      <c r="A161" s="239"/>
      <c r="B161" s="36" t="s">
        <v>1532</v>
      </c>
      <c r="C161" s="36" t="s">
        <v>1001</v>
      </c>
      <c r="D161" s="37">
        <v>0.85</v>
      </c>
      <c r="E161" s="31">
        <v>3.4484999999999997</v>
      </c>
      <c r="F161" s="34">
        <f t="shared" si="2"/>
        <v>2.9312249999999995</v>
      </c>
      <c r="G161" s="45"/>
      <c r="H161" s="46"/>
      <c r="I161" s="157">
        <v>0</v>
      </c>
    </row>
    <row r="162" spans="1:9" ht="39" hidden="1" thickBot="1" x14ac:dyDescent="0.3">
      <c r="A162" s="239"/>
      <c r="B162" s="36" t="s">
        <v>1533</v>
      </c>
      <c r="C162" s="36" t="s">
        <v>1003</v>
      </c>
      <c r="D162" s="37">
        <v>2.8</v>
      </c>
      <c r="E162" s="31">
        <v>1.1019999999999999</v>
      </c>
      <c r="F162" s="34">
        <f t="shared" si="2"/>
        <v>3.0855999999999995</v>
      </c>
      <c r="G162" s="45"/>
      <c r="H162" s="46"/>
      <c r="I162" s="157">
        <v>0</v>
      </c>
    </row>
    <row r="163" spans="1:9" ht="51.75" hidden="1" thickBot="1" x14ac:dyDescent="0.3">
      <c r="A163" s="239"/>
      <c r="B163" s="36" t="s">
        <v>3619</v>
      </c>
      <c r="C163" s="36" t="s">
        <v>124</v>
      </c>
      <c r="D163" s="37">
        <f>ROUND(1*D156,4)</f>
        <v>1.18</v>
      </c>
      <c r="E163" s="31">
        <v>5.6237587000000007</v>
      </c>
      <c r="F163" s="34">
        <f t="shared" si="2"/>
        <v>6.6360352660000004</v>
      </c>
      <c r="G163" s="45"/>
      <c r="H163" s="46"/>
      <c r="I163" s="157">
        <v>0</v>
      </c>
    </row>
    <row r="164" spans="1:9" ht="39" hidden="1" thickBot="1" x14ac:dyDescent="0.3">
      <c r="A164" s="239"/>
      <c r="B164" s="36" t="s">
        <v>3616</v>
      </c>
      <c r="C164" s="47" t="s">
        <v>126</v>
      </c>
      <c r="D164" s="37">
        <f>ROUND(D156*20,4)</f>
        <v>23.6</v>
      </c>
      <c r="E164" s="31">
        <v>1.8443850999999998</v>
      </c>
      <c r="F164" s="34">
        <f t="shared" si="2"/>
        <v>43.52748836</v>
      </c>
      <c r="G164" s="45"/>
      <c r="H164" s="46"/>
      <c r="I164" s="157">
        <v>0</v>
      </c>
    </row>
    <row r="165" spans="1:9" ht="15.75" hidden="1" thickBot="1" x14ac:dyDescent="0.3">
      <c r="A165" s="239"/>
      <c r="B165" s="51"/>
      <c r="C165" s="47"/>
      <c r="D165" s="37"/>
      <c r="E165" s="31" t="s">
        <v>572</v>
      </c>
      <c r="F165" s="34" t="str">
        <f t="shared" si="2"/>
        <v/>
      </c>
      <c r="G165" s="45"/>
      <c r="H165" s="46"/>
      <c r="I165" s="157">
        <v>0</v>
      </c>
    </row>
    <row r="166" spans="1:9" ht="15.75" hidden="1" customHeight="1" x14ac:dyDescent="0.3">
      <c r="A166" s="239"/>
      <c r="B166" s="48" t="s">
        <v>812</v>
      </c>
      <c r="C166" s="47"/>
      <c r="D166" s="37"/>
      <c r="E166" s="31" t="s">
        <v>572</v>
      </c>
      <c r="F166" s="34" t="str">
        <f t="shared" si="2"/>
        <v/>
      </c>
      <c r="G166" s="45"/>
      <c r="H166" s="46"/>
      <c r="I166" s="157">
        <v>0</v>
      </c>
    </row>
    <row r="167" spans="1:9" ht="15.75" hidden="1" thickBot="1" x14ac:dyDescent="0.3">
      <c r="A167" s="239"/>
      <c r="B167" s="36"/>
      <c r="C167" s="36"/>
      <c r="D167" s="93"/>
      <c r="E167" s="31" t="s">
        <v>572</v>
      </c>
      <c r="F167" s="31" t="str">
        <f t="shared" si="2"/>
        <v/>
      </c>
      <c r="G167" s="35"/>
      <c r="H167" s="31"/>
      <c r="I167" s="157">
        <v>0</v>
      </c>
    </row>
    <row r="168" spans="1:9" ht="15.75" hidden="1" thickBot="1" x14ac:dyDescent="0.3">
      <c r="A168" s="240" t="s">
        <v>1436</v>
      </c>
      <c r="B168" s="41" t="s">
        <v>572</v>
      </c>
      <c r="C168" s="26" t="s">
        <v>124</v>
      </c>
      <c r="D168" s="94"/>
      <c r="E168" s="42" t="s">
        <v>572</v>
      </c>
      <c r="F168" s="42" t="str">
        <f t="shared" si="2"/>
        <v/>
      </c>
      <c r="G168" s="29"/>
      <c r="H168" s="30"/>
      <c r="I168" s="157">
        <v>0</v>
      </c>
    </row>
    <row r="169" spans="1:9" ht="15.75" hidden="1" thickBot="1" x14ac:dyDescent="0.3">
      <c r="A169" s="239"/>
      <c r="B169" s="32" t="s">
        <v>572</v>
      </c>
      <c r="C169" s="32"/>
      <c r="D169" s="92"/>
      <c r="E169" s="43" t="s">
        <v>572</v>
      </c>
      <c r="F169" s="31" t="str">
        <f t="shared" si="2"/>
        <v/>
      </c>
      <c r="G169" s="35"/>
      <c r="H169" s="31"/>
      <c r="I169" s="157">
        <v>0</v>
      </c>
    </row>
    <row r="170" spans="1:9" ht="15.75" hidden="1" thickBot="1" x14ac:dyDescent="0.3">
      <c r="A170" s="239"/>
      <c r="B170" s="36" t="s">
        <v>117</v>
      </c>
      <c r="C170" s="36" t="s">
        <v>124</v>
      </c>
      <c r="D170" s="37">
        <v>1.36</v>
      </c>
      <c r="E170" s="34">
        <v>90.25</v>
      </c>
      <c r="F170" s="34">
        <f t="shared" si="2"/>
        <v>122.74000000000001</v>
      </c>
      <c r="G170" s="45">
        <f>SUM(F170:F176)</f>
        <v>481.36947655200004</v>
      </c>
      <c r="H170" s="46"/>
      <c r="I170" s="157">
        <v>0</v>
      </c>
    </row>
    <row r="171" spans="1:9" ht="15.75" hidden="1" thickBot="1" x14ac:dyDescent="0.3">
      <c r="A171" s="239"/>
      <c r="B171" s="36" t="s">
        <v>118</v>
      </c>
      <c r="C171" s="36" t="s">
        <v>957</v>
      </c>
      <c r="D171" s="37">
        <v>459.85</v>
      </c>
      <c r="E171" s="34">
        <v>0.47499999999999998</v>
      </c>
      <c r="F171" s="34">
        <f t="shared" si="2"/>
        <v>218.42875000000001</v>
      </c>
      <c r="G171" s="45"/>
      <c r="H171" s="46"/>
      <c r="I171" s="157">
        <v>0</v>
      </c>
    </row>
    <row r="172" spans="1:9" ht="15.75" hidden="1" customHeight="1" x14ac:dyDescent="0.3">
      <c r="A172" s="239"/>
      <c r="B172" s="36" t="s">
        <v>120</v>
      </c>
      <c r="C172" s="36" t="s">
        <v>759</v>
      </c>
      <c r="D172" s="37">
        <v>4.8499999999999996</v>
      </c>
      <c r="E172" s="31">
        <v>16.5015</v>
      </c>
      <c r="F172" s="34">
        <f t="shared" si="2"/>
        <v>80.032274999999998</v>
      </c>
      <c r="G172" s="45"/>
      <c r="H172" s="46"/>
      <c r="I172" s="157">
        <v>0</v>
      </c>
    </row>
    <row r="173" spans="1:9" ht="39" hidden="1" thickBot="1" x14ac:dyDescent="0.3">
      <c r="A173" s="239"/>
      <c r="B173" s="36" t="s">
        <v>1519</v>
      </c>
      <c r="C173" s="36" t="s">
        <v>1001</v>
      </c>
      <c r="D173" s="37">
        <v>1.1299999999999999</v>
      </c>
      <c r="E173" s="31">
        <v>1.2064999999999999</v>
      </c>
      <c r="F173" s="34">
        <f t="shared" si="2"/>
        <v>1.3633449999999998</v>
      </c>
      <c r="G173" s="45"/>
      <c r="H173" s="46"/>
      <c r="I173" s="157">
        <v>0</v>
      </c>
    </row>
    <row r="174" spans="1:9" ht="39" hidden="1" thickBot="1" x14ac:dyDescent="0.3">
      <c r="A174" s="239"/>
      <c r="B174" s="36" t="s">
        <v>1520</v>
      </c>
      <c r="C174" s="36" t="s">
        <v>1003</v>
      </c>
      <c r="D174" s="37">
        <v>3.72</v>
      </c>
      <c r="E174" s="31">
        <v>0.26600000000000001</v>
      </c>
      <c r="F174" s="34">
        <f t="shared" si="2"/>
        <v>0.98952000000000007</v>
      </c>
      <c r="G174" s="45"/>
      <c r="H174" s="46"/>
      <c r="I174" s="157">
        <v>0</v>
      </c>
    </row>
    <row r="175" spans="1:9" ht="51.75" hidden="1" thickBot="1" x14ac:dyDescent="0.3">
      <c r="A175" s="239"/>
      <c r="B175" s="36" t="s">
        <v>3619</v>
      </c>
      <c r="C175" s="36" t="s">
        <v>124</v>
      </c>
      <c r="D175" s="37">
        <f>ROUND(1*D170,4)</f>
        <v>1.36</v>
      </c>
      <c r="E175" s="31">
        <v>5.6237587000000007</v>
      </c>
      <c r="F175" s="34">
        <f t="shared" si="2"/>
        <v>7.6483118320000019</v>
      </c>
      <c r="G175" s="45"/>
      <c r="H175" s="46"/>
      <c r="I175" s="157">
        <v>0</v>
      </c>
    </row>
    <row r="176" spans="1:9" ht="39" hidden="1" thickBot="1" x14ac:dyDescent="0.3">
      <c r="A176" s="239"/>
      <c r="B176" s="36" t="s">
        <v>3616</v>
      </c>
      <c r="C176" s="47" t="s">
        <v>126</v>
      </c>
      <c r="D176" s="37">
        <f>ROUND(D170*20,4)</f>
        <v>27.2</v>
      </c>
      <c r="E176" s="31">
        <v>1.8443850999999998</v>
      </c>
      <c r="F176" s="34">
        <f t="shared" si="2"/>
        <v>50.167274719999995</v>
      </c>
      <c r="G176" s="45"/>
      <c r="H176" s="46"/>
      <c r="I176" s="157">
        <v>0</v>
      </c>
    </row>
    <row r="177" spans="1:9" ht="15.75" hidden="1" thickBot="1" x14ac:dyDescent="0.3">
      <c r="A177" s="239"/>
      <c r="B177" s="51"/>
      <c r="C177" s="47"/>
      <c r="D177" s="37"/>
      <c r="E177" s="31" t="s">
        <v>572</v>
      </c>
      <c r="F177" s="34" t="str">
        <f t="shared" si="2"/>
        <v/>
      </c>
      <c r="G177" s="45"/>
      <c r="H177" s="46"/>
      <c r="I177" s="157">
        <v>0</v>
      </c>
    </row>
    <row r="178" spans="1:9" ht="15.75" hidden="1" customHeight="1" x14ac:dyDescent="0.3">
      <c r="A178" s="239"/>
      <c r="B178" s="48" t="s">
        <v>812</v>
      </c>
      <c r="C178" s="47"/>
      <c r="D178" s="37"/>
      <c r="E178" s="31" t="s">
        <v>572</v>
      </c>
      <c r="F178" s="34" t="str">
        <f t="shared" si="2"/>
        <v/>
      </c>
      <c r="G178" s="45"/>
      <c r="H178" s="46"/>
      <c r="I178" s="157">
        <v>0</v>
      </c>
    </row>
    <row r="179" spans="1:9" ht="15.75" hidden="1" thickBot="1" x14ac:dyDescent="0.3">
      <c r="A179" s="239"/>
      <c r="B179" s="36"/>
      <c r="C179" s="36"/>
      <c r="D179" s="93"/>
      <c r="E179" s="31" t="s">
        <v>572</v>
      </c>
      <c r="F179" s="31" t="str">
        <f t="shared" si="2"/>
        <v/>
      </c>
      <c r="G179" s="35"/>
      <c r="H179" s="31"/>
      <c r="I179" s="157">
        <v>0</v>
      </c>
    </row>
    <row r="180" spans="1:9" ht="15.75" hidden="1" thickBot="1" x14ac:dyDescent="0.3">
      <c r="A180" s="240" t="s">
        <v>1004</v>
      </c>
      <c r="B180" s="41" t="s">
        <v>572</v>
      </c>
      <c r="C180" s="26" t="s">
        <v>124</v>
      </c>
      <c r="D180" s="94"/>
      <c r="E180" s="42" t="s">
        <v>572</v>
      </c>
      <c r="F180" s="42" t="str">
        <f t="shared" si="2"/>
        <v/>
      </c>
      <c r="G180" s="29"/>
      <c r="H180" s="30"/>
      <c r="I180" s="157">
        <v>0</v>
      </c>
    </row>
    <row r="181" spans="1:9" ht="15.75" hidden="1" thickBot="1" x14ac:dyDescent="0.3">
      <c r="A181" s="239"/>
      <c r="B181" s="32" t="s">
        <v>572</v>
      </c>
      <c r="C181" s="32"/>
      <c r="D181" s="92"/>
      <c r="E181" s="43" t="s">
        <v>572</v>
      </c>
      <c r="F181" s="31" t="str">
        <f t="shared" si="2"/>
        <v/>
      </c>
      <c r="G181" s="35"/>
      <c r="H181" s="31"/>
      <c r="I181" s="157">
        <v>0</v>
      </c>
    </row>
    <row r="182" spans="1:9" ht="51.75" hidden="1" thickBot="1" x14ac:dyDescent="0.3">
      <c r="A182" s="239"/>
      <c r="B182" s="36" t="s">
        <v>1006</v>
      </c>
      <c r="C182" s="36" t="s">
        <v>1001</v>
      </c>
      <c r="D182" s="37">
        <v>6.0000000000000001E-3</v>
      </c>
      <c r="E182" s="34">
        <v>195.83299999999997</v>
      </c>
      <c r="F182" s="34">
        <f t="shared" si="2"/>
        <v>1.1749979999999998</v>
      </c>
      <c r="G182" s="45">
        <f>SUM(F182:F184)</f>
        <v>1.4336639999999998</v>
      </c>
      <c r="H182" s="46"/>
      <c r="I182" s="157">
        <v>0</v>
      </c>
    </row>
    <row r="183" spans="1:9" ht="51.75" hidden="1" thickBot="1" x14ac:dyDescent="0.3">
      <c r="A183" s="239"/>
      <c r="B183" s="36" t="s">
        <v>1007</v>
      </c>
      <c r="C183" s="36" t="s">
        <v>1003</v>
      </c>
      <c r="D183" s="37">
        <v>3.0000000000000001E-3</v>
      </c>
      <c r="E183" s="34">
        <v>37.287500000000001</v>
      </c>
      <c r="F183" s="34">
        <f t="shared" si="2"/>
        <v>0.1118625</v>
      </c>
      <c r="G183" s="45"/>
      <c r="H183" s="46"/>
      <c r="I183" s="157">
        <v>0</v>
      </c>
    </row>
    <row r="184" spans="1:9" ht="15.75" hidden="1" customHeight="1" x14ac:dyDescent="0.3">
      <c r="A184" s="239"/>
      <c r="B184" s="36" t="s">
        <v>760</v>
      </c>
      <c r="C184" s="36" t="s">
        <v>759</v>
      </c>
      <c r="D184" s="37">
        <v>8.9999999999999993E-3</v>
      </c>
      <c r="E184" s="34">
        <v>16.311500000000002</v>
      </c>
      <c r="F184" s="34">
        <f t="shared" si="2"/>
        <v>0.1468035</v>
      </c>
      <c r="G184" s="45"/>
      <c r="H184" s="46"/>
      <c r="I184" s="157">
        <v>0</v>
      </c>
    </row>
    <row r="185" spans="1:9" ht="15.75" hidden="1" thickBot="1" x14ac:dyDescent="0.3">
      <c r="A185" s="239"/>
      <c r="B185" s="36"/>
      <c r="C185" s="36"/>
      <c r="D185" s="93"/>
      <c r="E185" s="31" t="s">
        <v>572</v>
      </c>
      <c r="F185" s="31" t="str">
        <f t="shared" si="2"/>
        <v/>
      </c>
      <c r="G185" s="35"/>
      <c r="H185" s="31"/>
      <c r="I185" s="157">
        <v>0</v>
      </c>
    </row>
    <row r="186" spans="1:9" ht="15.75" hidden="1" thickBot="1" x14ac:dyDescent="0.3">
      <c r="A186" s="240" t="s">
        <v>961</v>
      </c>
      <c r="B186" s="41" t="s">
        <v>572</v>
      </c>
      <c r="C186" s="26" t="s">
        <v>957</v>
      </c>
      <c r="D186" s="94"/>
      <c r="E186" s="42" t="s">
        <v>572</v>
      </c>
      <c r="F186" s="42" t="str">
        <f t="shared" si="2"/>
        <v/>
      </c>
      <c r="G186" s="29"/>
      <c r="H186" s="30"/>
      <c r="I186" s="157">
        <v>0</v>
      </c>
    </row>
    <row r="187" spans="1:9" ht="15.75" hidden="1" thickBot="1" x14ac:dyDescent="0.3">
      <c r="A187" s="239"/>
      <c r="B187" s="32" t="s">
        <v>572</v>
      </c>
      <c r="C187" s="32"/>
      <c r="D187" s="92"/>
      <c r="E187" s="43" t="s">
        <v>572</v>
      </c>
      <c r="F187" s="31" t="str">
        <f t="shared" si="2"/>
        <v/>
      </c>
      <c r="G187" s="35"/>
      <c r="H187" s="31"/>
      <c r="I187" s="157">
        <v>0</v>
      </c>
    </row>
    <row r="188" spans="1:9" ht="15.75" hidden="1" thickBot="1" x14ac:dyDescent="0.3">
      <c r="A188" s="239"/>
      <c r="B188" s="36" t="s">
        <v>826</v>
      </c>
      <c r="C188" s="36" t="s">
        <v>957</v>
      </c>
      <c r="D188" s="37">
        <v>1.1100000000000001</v>
      </c>
      <c r="E188" s="34">
        <v>9.5949999999999989</v>
      </c>
      <c r="F188" s="34">
        <f t="shared" si="2"/>
        <v>10.650449999999999</v>
      </c>
      <c r="G188" s="45">
        <f>SUM(F188:F190)</f>
        <v>11.1973156</v>
      </c>
      <c r="H188" s="46"/>
      <c r="I188" s="157">
        <v>0</v>
      </c>
    </row>
    <row r="189" spans="1:9" ht="15.75" hidden="1" customHeight="1" x14ac:dyDescent="0.3">
      <c r="A189" s="239"/>
      <c r="B189" s="36" t="s">
        <v>959</v>
      </c>
      <c r="C189" s="36" t="s">
        <v>759</v>
      </c>
      <c r="D189" s="37">
        <v>3.2000000000000002E-3</v>
      </c>
      <c r="E189" s="34">
        <v>17.081</v>
      </c>
      <c r="F189" s="34">
        <f t="shared" si="2"/>
        <v>5.4659199999999998E-2</v>
      </c>
      <c r="G189" s="45"/>
      <c r="H189" s="46"/>
      <c r="I189" s="157">
        <v>0</v>
      </c>
    </row>
    <row r="190" spans="1:9" ht="15.75" hidden="1" thickBot="1" x14ac:dyDescent="0.3">
      <c r="A190" s="239"/>
      <c r="B190" s="36" t="s">
        <v>960</v>
      </c>
      <c r="C190" s="36" t="s">
        <v>759</v>
      </c>
      <c r="D190" s="37">
        <v>2.24E-2</v>
      </c>
      <c r="E190" s="34">
        <v>21.973499999999998</v>
      </c>
      <c r="F190" s="34">
        <f t="shared" si="2"/>
        <v>0.49220639999999993</v>
      </c>
      <c r="G190" s="45"/>
      <c r="H190" s="46"/>
      <c r="I190" s="157">
        <v>0</v>
      </c>
    </row>
    <row r="191" spans="1:9" ht="15.75" hidden="1" thickBot="1" x14ac:dyDescent="0.3">
      <c r="A191" s="239"/>
      <c r="B191" s="36" t="s">
        <v>572</v>
      </c>
      <c r="C191" s="36"/>
      <c r="D191" s="93"/>
      <c r="E191" s="31" t="s">
        <v>572</v>
      </c>
      <c r="F191" s="31" t="str">
        <f t="shared" si="2"/>
        <v/>
      </c>
      <c r="G191" s="35"/>
      <c r="H191" s="31"/>
      <c r="I191" s="157">
        <v>0</v>
      </c>
    </row>
    <row r="192" spans="1:9" ht="15.75" hidden="1" thickBot="1" x14ac:dyDescent="0.3">
      <c r="A192" s="240" t="s">
        <v>994</v>
      </c>
      <c r="B192" s="41" t="s">
        <v>572</v>
      </c>
      <c r="C192" s="26" t="s">
        <v>957</v>
      </c>
      <c r="D192" s="94"/>
      <c r="E192" s="42" t="s">
        <v>572</v>
      </c>
      <c r="F192" s="42" t="str">
        <f t="shared" si="2"/>
        <v/>
      </c>
      <c r="G192" s="29"/>
      <c r="H192" s="30"/>
      <c r="I192" s="157">
        <v>0</v>
      </c>
    </row>
    <row r="193" spans="1:9" ht="15.75" hidden="1" customHeight="1" x14ac:dyDescent="0.3">
      <c r="A193" s="239"/>
      <c r="B193" s="32" t="s">
        <v>572</v>
      </c>
      <c r="C193" s="32"/>
      <c r="D193" s="92"/>
      <c r="E193" s="43" t="s">
        <v>572</v>
      </c>
      <c r="F193" s="31" t="str">
        <f t="shared" si="2"/>
        <v/>
      </c>
      <c r="G193" s="35"/>
      <c r="H193" s="31"/>
      <c r="I193" s="157">
        <v>0</v>
      </c>
    </row>
    <row r="194" spans="1:9" ht="15.75" hidden="1" thickBot="1" x14ac:dyDescent="0.3">
      <c r="A194" s="239"/>
      <c r="B194" s="36" t="s">
        <v>830</v>
      </c>
      <c r="C194" s="36" t="s">
        <v>957</v>
      </c>
      <c r="D194" s="37">
        <v>1.1100000000000001</v>
      </c>
      <c r="E194" s="34">
        <v>7.8374999999999995</v>
      </c>
      <c r="F194" s="34">
        <f t="shared" si="2"/>
        <v>8.6996250000000011</v>
      </c>
      <c r="G194" s="45">
        <f>SUM(F194:F196)</f>
        <v>8.8705204999999996</v>
      </c>
      <c r="H194" s="46"/>
      <c r="I194" s="157">
        <v>0</v>
      </c>
    </row>
    <row r="195" spans="1:9" ht="15.75" hidden="1" thickBot="1" x14ac:dyDescent="0.3">
      <c r="A195" s="239"/>
      <c r="B195" s="36" t="s">
        <v>959</v>
      </c>
      <c r="C195" s="36" t="s">
        <v>759</v>
      </c>
      <c r="D195" s="37">
        <v>1E-3</v>
      </c>
      <c r="E195" s="34">
        <v>17.081</v>
      </c>
      <c r="F195" s="34">
        <f t="shared" si="2"/>
        <v>1.7080999999999999E-2</v>
      </c>
      <c r="G195" s="45"/>
      <c r="H195" s="46"/>
      <c r="I195" s="157">
        <v>0</v>
      </c>
    </row>
    <row r="196" spans="1:9" ht="15.75" hidden="1" thickBot="1" x14ac:dyDescent="0.3">
      <c r="A196" s="239"/>
      <c r="B196" s="36" t="s">
        <v>960</v>
      </c>
      <c r="C196" s="36" t="s">
        <v>759</v>
      </c>
      <c r="D196" s="37">
        <v>7.0000000000000001E-3</v>
      </c>
      <c r="E196" s="34">
        <v>21.973499999999998</v>
      </c>
      <c r="F196" s="34">
        <f t="shared" si="2"/>
        <v>0.15381449999999999</v>
      </c>
      <c r="G196" s="45"/>
      <c r="H196" s="46"/>
      <c r="I196" s="157">
        <v>0</v>
      </c>
    </row>
    <row r="197" spans="1:9" ht="15.75" hidden="1" thickBot="1" x14ac:dyDescent="0.3">
      <c r="A197" s="239"/>
      <c r="B197" s="36" t="s">
        <v>572</v>
      </c>
      <c r="C197" s="36"/>
      <c r="D197" s="93"/>
      <c r="E197" s="31" t="s">
        <v>572</v>
      </c>
      <c r="F197" s="31" t="str">
        <f t="shared" si="2"/>
        <v/>
      </c>
      <c r="G197" s="35"/>
      <c r="H197" s="31"/>
      <c r="I197" s="157">
        <v>0</v>
      </c>
    </row>
    <row r="198" spans="1:9" ht="15.75" hidden="1" thickBot="1" x14ac:dyDescent="0.3">
      <c r="A198" s="240" t="s">
        <v>996</v>
      </c>
      <c r="B198" s="41" t="s">
        <v>572</v>
      </c>
      <c r="C198" s="26" t="s">
        <v>957</v>
      </c>
      <c r="D198" s="94"/>
      <c r="E198" s="42" t="s">
        <v>572</v>
      </c>
      <c r="F198" s="42" t="str">
        <f t="shared" ref="F198:F261" si="3">IF(ISNUMBER(E198),E198*$D198,"")</f>
        <v/>
      </c>
      <c r="G198" s="29"/>
      <c r="H198" s="30"/>
      <c r="I198" s="157">
        <v>0</v>
      </c>
    </row>
    <row r="199" spans="1:9" ht="15.75" hidden="1" thickBot="1" x14ac:dyDescent="0.3">
      <c r="A199" s="239"/>
      <c r="B199" s="32" t="s">
        <v>572</v>
      </c>
      <c r="C199" s="32"/>
      <c r="D199" s="92"/>
      <c r="E199" s="43" t="s">
        <v>572</v>
      </c>
      <c r="F199" s="31" t="str">
        <f t="shared" si="3"/>
        <v/>
      </c>
      <c r="G199" s="35"/>
      <c r="H199" s="31"/>
      <c r="I199" s="157">
        <v>0</v>
      </c>
    </row>
    <row r="200" spans="1:9" ht="15.75" hidden="1" thickBot="1" x14ac:dyDescent="0.3">
      <c r="A200" s="239"/>
      <c r="B200" s="36" t="s">
        <v>1534</v>
      </c>
      <c r="C200" s="36" t="s">
        <v>957</v>
      </c>
      <c r="D200" s="37">
        <v>1.1399999999999999</v>
      </c>
      <c r="E200" s="34">
        <v>9.0344999999999995</v>
      </c>
      <c r="F200" s="34">
        <f t="shared" si="3"/>
        <v>10.299329999999999</v>
      </c>
      <c r="G200" s="45">
        <f>SUM(F200:F201)</f>
        <v>10.343276999999999</v>
      </c>
      <c r="H200" s="46"/>
      <c r="I200" s="157">
        <v>0</v>
      </c>
    </row>
    <row r="201" spans="1:9" ht="15.75" hidden="1" customHeight="1" x14ac:dyDescent="0.3">
      <c r="A201" s="239"/>
      <c r="B201" s="36" t="s">
        <v>960</v>
      </c>
      <c r="C201" s="36" t="s">
        <v>759</v>
      </c>
      <c r="D201" s="37">
        <v>2E-3</v>
      </c>
      <c r="E201" s="34">
        <v>21.973499999999998</v>
      </c>
      <c r="F201" s="34">
        <f t="shared" si="3"/>
        <v>4.3947E-2</v>
      </c>
      <c r="G201" s="45"/>
      <c r="H201" s="46"/>
      <c r="I201" s="157">
        <v>0</v>
      </c>
    </row>
    <row r="202" spans="1:9" ht="15.75" hidden="1" thickBot="1" x14ac:dyDescent="0.3">
      <c r="A202" s="239"/>
      <c r="B202" s="36" t="s">
        <v>572</v>
      </c>
      <c r="C202" s="36"/>
      <c r="D202" s="93"/>
      <c r="E202" s="31" t="s">
        <v>572</v>
      </c>
      <c r="F202" s="31" t="str">
        <f t="shared" si="3"/>
        <v/>
      </c>
      <c r="G202" s="35"/>
      <c r="H202" s="31"/>
      <c r="I202" s="157">
        <v>0</v>
      </c>
    </row>
    <row r="203" spans="1:9" ht="15.75" hidden="1" thickBot="1" x14ac:dyDescent="0.3">
      <c r="A203" s="240" t="s">
        <v>1047</v>
      </c>
      <c r="B203" s="41" t="s">
        <v>572</v>
      </c>
      <c r="C203" s="26" t="s">
        <v>1048</v>
      </c>
      <c r="D203" s="94"/>
      <c r="E203" s="42" t="s">
        <v>572</v>
      </c>
      <c r="F203" s="42" t="str">
        <f t="shared" si="3"/>
        <v/>
      </c>
      <c r="G203" s="29"/>
      <c r="H203" s="30"/>
      <c r="I203" s="157">
        <v>0</v>
      </c>
    </row>
    <row r="204" spans="1:9" ht="15.75" hidden="1" thickBot="1" x14ac:dyDescent="0.3">
      <c r="A204" s="239"/>
      <c r="B204" s="32" t="s">
        <v>572</v>
      </c>
      <c r="C204" s="32"/>
      <c r="D204" s="92"/>
      <c r="E204" s="43" t="s">
        <v>572</v>
      </c>
      <c r="F204" s="31" t="str">
        <f t="shared" si="3"/>
        <v/>
      </c>
      <c r="G204" s="35"/>
      <c r="H204" s="31"/>
      <c r="I204" s="157">
        <v>0</v>
      </c>
    </row>
    <row r="205" spans="1:9" ht="15.75" hidden="1" thickBot="1" x14ac:dyDescent="0.3">
      <c r="A205" s="239"/>
      <c r="B205" s="36" t="s">
        <v>760</v>
      </c>
      <c r="C205" s="36" t="s">
        <v>759</v>
      </c>
      <c r="D205" s="37">
        <v>0.61180000000000001</v>
      </c>
      <c r="E205" s="34">
        <v>16.311500000000002</v>
      </c>
      <c r="F205" s="34">
        <f t="shared" si="3"/>
        <v>9.9793757000000021</v>
      </c>
      <c r="G205" s="45">
        <f>SUM(F205:F205)</f>
        <v>9.9793757000000021</v>
      </c>
      <c r="H205" s="46"/>
      <c r="I205" s="157">
        <v>0</v>
      </c>
    </row>
    <row r="206" spans="1:9" ht="15.75" hidden="1" customHeight="1" thickBot="1" x14ac:dyDescent="0.3">
      <c r="A206" s="241"/>
      <c r="B206" s="55" t="s">
        <v>572</v>
      </c>
      <c r="C206" s="55"/>
      <c r="D206" s="96"/>
      <c r="E206" s="67" t="s">
        <v>572</v>
      </c>
      <c r="F206" s="67" t="str">
        <f t="shared" si="3"/>
        <v/>
      </c>
      <c r="G206" s="69"/>
      <c r="H206" s="31"/>
      <c r="I206" s="157">
        <v>0</v>
      </c>
    </row>
    <row r="207" spans="1:9" ht="15.75" hidden="1" thickBot="1" x14ac:dyDescent="0.3">
      <c r="A207" s="240" t="s">
        <v>116</v>
      </c>
      <c r="B207" s="41" t="s">
        <v>572</v>
      </c>
      <c r="C207" s="26" t="s">
        <v>124</v>
      </c>
      <c r="D207" s="94"/>
      <c r="E207" s="42" t="s">
        <v>572</v>
      </c>
      <c r="F207" s="42" t="str">
        <f t="shared" si="3"/>
        <v/>
      </c>
      <c r="G207" s="29"/>
      <c r="H207" s="30"/>
      <c r="I207" s="157">
        <v>0</v>
      </c>
    </row>
    <row r="208" spans="1:9" ht="15.75" hidden="1" thickBot="1" x14ac:dyDescent="0.3">
      <c r="A208" s="239"/>
      <c r="B208" s="32" t="s">
        <v>572</v>
      </c>
      <c r="C208" s="32"/>
      <c r="D208" s="92"/>
      <c r="E208" s="43" t="s">
        <v>572</v>
      </c>
      <c r="F208" s="31" t="str">
        <f t="shared" si="3"/>
        <v/>
      </c>
      <c r="G208" s="35"/>
      <c r="H208" s="31"/>
      <c r="I208" s="157">
        <v>0</v>
      </c>
    </row>
    <row r="209" spans="1:9" ht="15.75" hidden="1" thickBot="1" x14ac:dyDescent="0.3">
      <c r="A209" s="239"/>
      <c r="B209" s="36" t="s">
        <v>78</v>
      </c>
      <c r="C209" s="36" t="s">
        <v>12</v>
      </c>
      <c r="D209" s="37">
        <v>1.8460000000000001</v>
      </c>
      <c r="E209" s="34">
        <v>21.878499999999999</v>
      </c>
      <c r="F209" s="34">
        <f t="shared" si="3"/>
        <v>40.387711000000003</v>
      </c>
      <c r="G209" s="45">
        <f>SUM(F209:F213)</f>
        <v>172.94265500000003</v>
      </c>
      <c r="H209" s="46"/>
      <c r="I209" s="157">
        <v>0</v>
      </c>
    </row>
    <row r="210" spans="1:9" ht="15.75" hidden="1" thickBot="1" x14ac:dyDescent="0.3">
      <c r="A210" s="239"/>
      <c r="B210" s="36" t="s">
        <v>22</v>
      </c>
      <c r="C210" s="36" t="s">
        <v>12</v>
      </c>
      <c r="D210" s="37">
        <v>1.8460000000000001</v>
      </c>
      <c r="E210" s="34">
        <v>22.087499999999999</v>
      </c>
      <c r="F210" s="34">
        <f t="shared" si="3"/>
        <v>40.773524999999999</v>
      </c>
      <c r="G210" s="45"/>
      <c r="H210" s="46"/>
      <c r="I210" s="157">
        <v>0</v>
      </c>
    </row>
    <row r="211" spans="1:9" ht="15.75" hidden="1" customHeight="1" x14ac:dyDescent="0.3">
      <c r="A211" s="239"/>
      <c r="B211" s="36" t="s">
        <v>23</v>
      </c>
      <c r="C211" s="36" t="s">
        <v>12</v>
      </c>
      <c r="D211" s="37">
        <f>5.538</f>
        <v>5.5380000000000003</v>
      </c>
      <c r="E211" s="31">
        <v>16.311500000000002</v>
      </c>
      <c r="F211" s="34">
        <f t="shared" si="3"/>
        <v>90.33308700000002</v>
      </c>
      <c r="G211" s="45"/>
      <c r="H211" s="46"/>
      <c r="I211" s="157">
        <v>0</v>
      </c>
    </row>
    <row r="212" spans="1:9" ht="26.25" hidden="1" thickBot="1" x14ac:dyDescent="0.3">
      <c r="A212" s="239"/>
      <c r="B212" s="36" t="s">
        <v>1535</v>
      </c>
      <c r="C212" s="47" t="s">
        <v>33</v>
      </c>
      <c r="D212" s="37">
        <v>0.67200000000000004</v>
      </c>
      <c r="E212" s="31">
        <v>1.4249999999999998</v>
      </c>
      <c r="F212" s="95">
        <f t="shared" si="3"/>
        <v>0.9575999999999999</v>
      </c>
      <c r="G212" s="45"/>
      <c r="H212" s="46"/>
      <c r="I212" s="157">
        <v>0</v>
      </c>
    </row>
    <row r="213" spans="1:9" ht="26.25" hidden="1" thickBot="1" x14ac:dyDescent="0.3">
      <c r="A213" s="239"/>
      <c r="B213" s="36" t="s">
        <v>1536</v>
      </c>
      <c r="C213" s="47" t="s">
        <v>35</v>
      </c>
      <c r="D213" s="37">
        <v>1.1739999999999999</v>
      </c>
      <c r="E213" s="31">
        <v>0.41799999999999998</v>
      </c>
      <c r="F213" s="95">
        <f t="shared" si="3"/>
        <v>0.49073199999999995</v>
      </c>
      <c r="G213" s="45"/>
      <c r="H213" s="46"/>
      <c r="I213" s="157">
        <v>0</v>
      </c>
    </row>
    <row r="214" spans="1:9" ht="15.75" hidden="1" thickBot="1" x14ac:dyDescent="0.3">
      <c r="A214" s="239"/>
      <c r="B214" s="36"/>
      <c r="C214" s="36"/>
      <c r="D214" s="93"/>
      <c r="E214" s="31" t="s">
        <v>572</v>
      </c>
      <c r="F214" s="31" t="str">
        <f t="shared" si="3"/>
        <v/>
      </c>
      <c r="G214" s="35"/>
      <c r="H214" s="31"/>
      <c r="I214" s="157">
        <v>0</v>
      </c>
    </row>
    <row r="215" spans="1:9" ht="15.75" hidden="1" thickBot="1" x14ac:dyDescent="0.3">
      <c r="A215" s="240" t="s">
        <v>3616</v>
      </c>
      <c r="B215" s="41" t="s">
        <v>572</v>
      </c>
      <c r="C215" s="26" t="s">
        <v>126</v>
      </c>
      <c r="D215" s="94"/>
      <c r="E215" s="42" t="s">
        <v>572</v>
      </c>
      <c r="F215" s="42" t="str">
        <f t="shared" si="3"/>
        <v/>
      </c>
      <c r="G215" s="29"/>
      <c r="H215" s="30"/>
      <c r="I215" s="157">
        <v>0</v>
      </c>
    </row>
    <row r="216" spans="1:9" ht="15.75" hidden="1" thickBot="1" x14ac:dyDescent="0.3">
      <c r="A216" s="239"/>
      <c r="B216" s="32" t="s">
        <v>572</v>
      </c>
      <c r="C216" s="32"/>
      <c r="D216" s="92"/>
      <c r="E216" s="43" t="s">
        <v>572</v>
      </c>
      <c r="F216" s="31" t="str">
        <f t="shared" si="3"/>
        <v/>
      </c>
      <c r="G216" s="35"/>
      <c r="H216" s="31"/>
      <c r="I216" s="157">
        <v>0</v>
      </c>
    </row>
    <row r="217" spans="1:9" ht="51.75" hidden="1" thickBot="1" x14ac:dyDescent="0.3">
      <c r="A217" s="239"/>
      <c r="B217" s="36" t="s">
        <v>1138</v>
      </c>
      <c r="C217" s="36" t="s">
        <v>1001</v>
      </c>
      <c r="D217" s="37">
        <v>1.3899999999999999E-2</v>
      </c>
      <c r="E217" s="34">
        <v>117.43899999999999</v>
      </c>
      <c r="F217" s="34">
        <f t="shared" si="3"/>
        <v>1.6324020999999997</v>
      </c>
      <c r="G217" s="45">
        <f>SUM(F217:F218)</f>
        <v>1.8443850999999998</v>
      </c>
      <c r="H217" s="46"/>
      <c r="I217" s="157">
        <v>0</v>
      </c>
    </row>
    <row r="218" spans="1:9" ht="51.75" hidden="1" thickBot="1" x14ac:dyDescent="0.3">
      <c r="A218" s="239"/>
      <c r="B218" s="36" t="s">
        <v>1139</v>
      </c>
      <c r="C218" s="36" t="s">
        <v>1003</v>
      </c>
      <c r="D218" s="37">
        <v>6.0000000000000001E-3</v>
      </c>
      <c r="E218" s="34">
        <v>35.330499999999994</v>
      </c>
      <c r="F218" s="34">
        <f t="shared" si="3"/>
        <v>0.21198299999999998</v>
      </c>
      <c r="G218" s="45"/>
      <c r="H218" s="46"/>
      <c r="I218" s="157">
        <v>0</v>
      </c>
    </row>
    <row r="219" spans="1:9" ht="15.75" hidden="1" thickBot="1" x14ac:dyDescent="0.3">
      <c r="A219" s="241"/>
      <c r="B219" s="55" t="s">
        <v>572</v>
      </c>
      <c r="C219" s="55"/>
      <c r="D219" s="96"/>
      <c r="E219" s="67" t="s">
        <v>572</v>
      </c>
      <c r="F219" s="67" t="str">
        <f t="shared" si="3"/>
        <v/>
      </c>
      <c r="G219" s="69"/>
      <c r="H219" s="31"/>
      <c r="I219" s="157">
        <v>0</v>
      </c>
    </row>
    <row r="220" spans="1:9" ht="15.75" hidden="1" thickBot="1" x14ac:dyDescent="0.3">
      <c r="A220" s="240" t="s">
        <v>3615</v>
      </c>
      <c r="B220" s="41" t="s">
        <v>572</v>
      </c>
      <c r="C220" s="26" t="s">
        <v>811</v>
      </c>
      <c r="D220" s="94"/>
      <c r="E220" s="42" t="s">
        <v>572</v>
      </c>
      <c r="F220" s="42" t="str">
        <f t="shared" si="3"/>
        <v/>
      </c>
      <c r="G220" s="29"/>
      <c r="H220" s="30"/>
      <c r="I220" s="157">
        <v>0</v>
      </c>
    </row>
    <row r="221" spans="1:9" ht="15.75" hidden="1" thickBot="1" x14ac:dyDescent="0.3">
      <c r="A221" s="239"/>
      <c r="B221" s="32" t="s">
        <v>572</v>
      </c>
      <c r="C221" s="32"/>
      <c r="D221" s="92"/>
      <c r="E221" s="43" t="s">
        <v>572</v>
      </c>
      <c r="F221" s="31" t="str">
        <f t="shared" si="3"/>
        <v/>
      </c>
      <c r="G221" s="35"/>
      <c r="H221" s="31"/>
      <c r="I221" s="157">
        <v>0</v>
      </c>
    </row>
    <row r="222" spans="1:9" ht="51.75" hidden="1" thickBot="1" x14ac:dyDescent="0.3">
      <c r="A222" s="239"/>
      <c r="B222" s="36" t="s">
        <v>1138</v>
      </c>
      <c r="C222" s="36" t="s">
        <v>1001</v>
      </c>
      <c r="D222" s="37">
        <v>9.2999999999999992E-3</v>
      </c>
      <c r="E222" s="34">
        <v>117.43899999999999</v>
      </c>
      <c r="F222" s="34">
        <f t="shared" si="3"/>
        <v>1.0921827</v>
      </c>
      <c r="G222" s="45">
        <f>SUM(F222:F223)</f>
        <v>1.2335046999999999</v>
      </c>
      <c r="H222" s="46"/>
      <c r="I222" s="157">
        <v>0</v>
      </c>
    </row>
    <row r="223" spans="1:9" ht="51.75" hidden="1" thickBot="1" x14ac:dyDescent="0.3">
      <c r="A223" s="239"/>
      <c r="B223" s="36" t="s">
        <v>1139</v>
      </c>
      <c r="C223" s="36" t="s">
        <v>1003</v>
      </c>
      <c r="D223" s="37">
        <v>4.0000000000000001E-3</v>
      </c>
      <c r="E223" s="34">
        <v>35.330499999999994</v>
      </c>
      <c r="F223" s="34">
        <f t="shared" si="3"/>
        <v>0.14132199999999998</v>
      </c>
      <c r="G223" s="45"/>
      <c r="H223" s="46"/>
      <c r="I223" s="157">
        <v>0</v>
      </c>
    </row>
    <row r="224" spans="1:9" ht="15.75" hidden="1" thickBot="1" x14ac:dyDescent="0.3">
      <c r="A224" s="241"/>
      <c r="B224" s="55" t="s">
        <v>572</v>
      </c>
      <c r="C224" s="55"/>
      <c r="D224" s="96"/>
      <c r="E224" s="67" t="s">
        <v>572</v>
      </c>
      <c r="F224" s="67" t="str">
        <f t="shared" si="3"/>
        <v/>
      </c>
      <c r="G224" s="69"/>
      <c r="H224" s="31"/>
      <c r="I224" s="157">
        <v>0</v>
      </c>
    </row>
    <row r="225" spans="1:9" ht="15.75" hidden="1" customHeight="1" thickBot="1" x14ac:dyDescent="0.3">
      <c r="A225" s="240" t="s">
        <v>1134</v>
      </c>
      <c r="B225" s="41" t="s">
        <v>572</v>
      </c>
      <c r="C225" s="26" t="s">
        <v>124</v>
      </c>
      <c r="D225" s="94"/>
      <c r="E225" s="42" t="s">
        <v>572</v>
      </c>
      <c r="F225" s="42" t="str">
        <f t="shared" si="3"/>
        <v/>
      </c>
      <c r="G225" s="29"/>
      <c r="H225" s="30"/>
      <c r="I225" s="157">
        <v>0</v>
      </c>
    </row>
    <row r="226" spans="1:9" ht="15.75" hidden="1" thickBot="1" x14ac:dyDescent="0.3">
      <c r="A226" s="239"/>
      <c r="B226" s="32" t="s">
        <v>572</v>
      </c>
      <c r="C226" s="32"/>
      <c r="D226" s="92"/>
      <c r="E226" s="43" t="s">
        <v>572</v>
      </c>
      <c r="F226" s="31" t="str">
        <f t="shared" si="3"/>
        <v/>
      </c>
      <c r="G226" s="35"/>
      <c r="H226" s="31"/>
      <c r="I226" s="157">
        <v>0</v>
      </c>
    </row>
    <row r="227" spans="1:9" ht="26.25" hidden="1" thickBot="1" x14ac:dyDescent="0.3">
      <c r="A227" s="239"/>
      <c r="B227" s="36" t="s">
        <v>809</v>
      </c>
      <c r="C227" s="36" t="s">
        <v>124</v>
      </c>
      <c r="D227" s="37">
        <v>0.76100000000000001</v>
      </c>
      <c r="E227" s="34">
        <v>90.25</v>
      </c>
      <c r="F227" s="34">
        <f t="shared" si="3"/>
        <v>68.680250000000001</v>
      </c>
      <c r="G227" s="45">
        <f>SUM(F227:F235)</f>
        <v>407.3246133664</v>
      </c>
      <c r="H227" s="46"/>
      <c r="I227" s="157">
        <v>0</v>
      </c>
    </row>
    <row r="228" spans="1:9" ht="15.75" hidden="1" thickBot="1" x14ac:dyDescent="0.3">
      <c r="A228" s="239"/>
      <c r="B228" s="36" t="s">
        <v>805</v>
      </c>
      <c r="C228" s="36" t="s">
        <v>957</v>
      </c>
      <c r="D228" s="37">
        <v>325.16000000000003</v>
      </c>
      <c r="E228" s="34">
        <v>0.47499999999999998</v>
      </c>
      <c r="F228" s="34">
        <f t="shared" si="3"/>
        <v>154.45099999999999</v>
      </c>
      <c r="G228" s="45"/>
      <c r="H228" s="46"/>
      <c r="I228" s="157">
        <v>0</v>
      </c>
    </row>
    <row r="229" spans="1:9" ht="26.25" hidden="1" thickBot="1" x14ac:dyDescent="0.3">
      <c r="A229" s="239"/>
      <c r="B229" s="36" t="s">
        <v>817</v>
      </c>
      <c r="C229" s="36" t="s">
        <v>124</v>
      </c>
      <c r="D229" s="37">
        <v>0.59099999999999997</v>
      </c>
      <c r="E229" s="34">
        <v>117.63849999999999</v>
      </c>
      <c r="F229" s="34">
        <f t="shared" si="3"/>
        <v>69.524353499999989</v>
      </c>
      <c r="G229" s="45"/>
      <c r="H229" s="46"/>
      <c r="I229" s="157">
        <v>0</v>
      </c>
    </row>
    <row r="230" spans="1:9" ht="15.75" hidden="1" thickBot="1" x14ac:dyDescent="0.3">
      <c r="A230" s="239"/>
      <c r="B230" s="36" t="s">
        <v>760</v>
      </c>
      <c r="C230" s="36" t="s">
        <v>759</v>
      </c>
      <c r="D230" s="37">
        <v>2.0299999999999998</v>
      </c>
      <c r="E230" s="31">
        <v>16.311500000000002</v>
      </c>
      <c r="F230" s="34">
        <f t="shared" si="3"/>
        <v>33.112345000000005</v>
      </c>
      <c r="G230" s="45"/>
      <c r="H230" s="46"/>
      <c r="I230" s="157">
        <v>0</v>
      </c>
    </row>
    <row r="231" spans="1:9" ht="26.25" hidden="1" thickBot="1" x14ac:dyDescent="0.3">
      <c r="A231" s="239"/>
      <c r="B231" s="36" t="s">
        <v>1538</v>
      </c>
      <c r="C231" s="36" t="s">
        <v>759</v>
      </c>
      <c r="D231" s="37">
        <v>1.28</v>
      </c>
      <c r="E231" s="31">
        <v>16.5015</v>
      </c>
      <c r="F231" s="95">
        <f t="shared" si="3"/>
        <v>21.121919999999999</v>
      </c>
      <c r="G231" s="45"/>
      <c r="H231" s="46"/>
      <c r="I231" s="157">
        <v>0</v>
      </c>
    </row>
    <row r="232" spans="1:9" ht="39" hidden="1" thickBot="1" x14ac:dyDescent="0.3">
      <c r="A232" s="239"/>
      <c r="B232" s="36" t="s">
        <v>1458</v>
      </c>
      <c r="C232" s="36" t="s">
        <v>1001</v>
      </c>
      <c r="D232" s="37">
        <v>0.66</v>
      </c>
      <c r="E232" s="31">
        <v>3.4484999999999997</v>
      </c>
      <c r="F232" s="95">
        <f t="shared" si="3"/>
        <v>2.2760099999999999</v>
      </c>
      <c r="G232" s="45"/>
      <c r="H232" s="46"/>
      <c r="I232" s="157">
        <v>0</v>
      </c>
    </row>
    <row r="233" spans="1:9" ht="39" hidden="1" thickBot="1" x14ac:dyDescent="0.3">
      <c r="A233" s="239"/>
      <c r="B233" s="36" t="s">
        <v>1539</v>
      </c>
      <c r="C233" s="47" t="s">
        <v>1003</v>
      </c>
      <c r="D233" s="37">
        <v>0.62</v>
      </c>
      <c r="E233" s="31">
        <v>1.1019999999999999</v>
      </c>
      <c r="F233" s="34">
        <f t="shared" si="3"/>
        <v>0.68323999999999996</v>
      </c>
      <c r="G233" s="45"/>
      <c r="H233" s="46"/>
      <c r="I233" s="157">
        <v>0</v>
      </c>
    </row>
    <row r="234" spans="1:9" ht="51.75" hidden="1" thickBot="1" x14ac:dyDescent="0.3">
      <c r="A234" s="239"/>
      <c r="B234" s="36" t="s">
        <v>3619</v>
      </c>
      <c r="C234" s="36" t="s">
        <v>124</v>
      </c>
      <c r="D234" s="37">
        <f>ROUND(1*(D227+D229),4)</f>
        <v>1.3520000000000001</v>
      </c>
      <c r="E234" s="31">
        <v>5.6237587000000007</v>
      </c>
      <c r="F234" s="34">
        <f t="shared" si="3"/>
        <v>7.6033217624000011</v>
      </c>
      <c r="G234" s="45"/>
      <c r="H234" s="46"/>
      <c r="I234" s="157">
        <v>0</v>
      </c>
    </row>
    <row r="235" spans="1:9" ht="39" hidden="1" thickBot="1" x14ac:dyDescent="0.3">
      <c r="A235" s="239"/>
      <c r="B235" s="36" t="s">
        <v>3616</v>
      </c>
      <c r="C235" s="47" t="s">
        <v>126</v>
      </c>
      <c r="D235" s="37">
        <f>ROUND((D227+D229)*20,4)</f>
        <v>27.04</v>
      </c>
      <c r="E235" s="31">
        <v>1.8443850999999998</v>
      </c>
      <c r="F235" s="34">
        <f t="shared" si="3"/>
        <v>49.872173103999991</v>
      </c>
      <c r="G235" s="45"/>
      <c r="H235" s="46"/>
      <c r="I235" s="157">
        <v>0</v>
      </c>
    </row>
    <row r="236" spans="1:9" ht="15.75" hidden="1" thickBot="1" x14ac:dyDescent="0.3">
      <c r="A236" s="239"/>
      <c r="B236" s="51"/>
      <c r="C236" s="47"/>
      <c r="D236" s="37"/>
      <c r="E236" s="31" t="s">
        <v>572</v>
      </c>
      <c r="F236" s="34" t="str">
        <f t="shared" si="3"/>
        <v/>
      </c>
      <c r="G236" s="45"/>
      <c r="H236" s="46"/>
      <c r="I236" s="157">
        <v>0</v>
      </c>
    </row>
    <row r="237" spans="1:9" ht="26.25" hidden="1" thickBot="1" x14ac:dyDescent="0.3">
      <c r="A237" s="239"/>
      <c r="B237" s="48" t="s">
        <v>127</v>
      </c>
      <c r="C237" s="47"/>
      <c r="D237" s="37"/>
      <c r="E237" s="31" t="s">
        <v>572</v>
      </c>
      <c r="F237" s="34" t="str">
        <f t="shared" si="3"/>
        <v/>
      </c>
      <c r="G237" s="45"/>
      <c r="H237" s="46"/>
      <c r="I237" s="157">
        <v>0</v>
      </c>
    </row>
    <row r="238" spans="1:9" ht="15.75" hidden="1" thickBot="1" x14ac:dyDescent="0.3">
      <c r="A238" s="239"/>
      <c r="B238" s="36" t="s">
        <v>572</v>
      </c>
      <c r="C238" s="36"/>
      <c r="D238" s="93"/>
      <c r="E238" s="31" t="s">
        <v>572</v>
      </c>
      <c r="F238" s="31" t="str">
        <f t="shared" si="3"/>
        <v/>
      </c>
      <c r="G238" s="35"/>
      <c r="H238" s="31"/>
      <c r="I238" s="157">
        <v>0</v>
      </c>
    </row>
    <row r="239" spans="1:9" ht="26.25" hidden="1" customHeight="1" thickBot="1" x14ac:dyDescent="0.3">
      <c r="A239" s="240" t="s">
        <v>1548</v>
      </c>
      <c r="B239" s="41" t="s">
        <v>572</v>
      </c>
      <c r="C239" s="26" t="s">
        <v>124</v>
      </c>
      <c r="D239" s="94"/>
      <c r="E239" s="42" t="s">
        <v>572</v>
      </c>
      <c r="F239" s="42" t="str">
        <f t="shared" si="3"/>
        <v/>
      </c>
      <c r="G239" s="29"/>
      <c r="H239" s="30"/>
      <c r="I239" s="157">
        <v>0</v>
      </c>
    </row>
    <row r="240" spans="1:9" ht="15.75" hidden="1" thickBot="1" x14ac:dyDescent="0.3">
      <c r="A240" s="239"/>
      <c r="B240" s="32" t="s">
        <v>572</v>
      </c>
      <c r="C240" s="32"/>
      <c r="D240" s="92"/>
      <c r="E240" s="98" t="s">
        <v>572</v>
      </c>
      <c r="F240" s="99" t="str">
        <f t="shared" si="3"/>
        <v/>
      </c>
      <c r="G240" s="35"/>
      <c r="H240" s="31"/>
      <c r="I240" s="157">
        <v>0</v>
      </c>
    </row>
    <row r="241" spans="1:9" ht="26.25" hidden="1" thickBot="1" x14ac:dyDescent="0.3">
      <c r="A241" s="239"/>
      <c r="B241" s="36" t="s">
        <v>809</v>
      </c>
      <c r="C241" s="36" t="s">
        <v>124</v>
      </c>
      <c r="D241" s="37">
        <v>0.82699999999999996</v>
      </c>
      <c r="E241" s="34">
        <v>90.25</v>
      </c>
      <c r="F241" s="34">
        <f t="shared" si="3"/>
        <v>74.636749999999992</v>
      </c>
      <c r="G241" s="45">
        <f>SUM(F241:F249)</f>
        <v>366.76949528349996</v>
      </c>
      <c r="H241" s="46"/>
      <c r="I241" s="157">
        <v>0</v>
      </c>
    </row>
    <row r="242" spans="1:9" ht="15.75" hidden="1" thickBot="1" x14ac:dyDescent="0.3">
      <c r="A242" s="239"/>
      <c r="B242" s="36" t="s">
        <v>805</v>
      </c>
      <c r="C242" s="36" t="s">
        <v>957</v>
      </c>
      <c r="D242" s="37">
        <v>212.02</v>
      </c>
      <c r="E242" s="34">
        <v>0.47499999999999998</v>
      </c>
      <c r="F242" s="34">
        <f t="shared" si="3"/>
        <v>100.70950000000001</v>
      </c>
      <c r="G242" s="45"/>
      <c r="H242" s="46"/>
      <c r="I242" s="157">
        <v>0</v>
      </c>
    </row>
    <row r="243" spans="1:9" ht="26.25" hidden="1" thickBot="1" x14ac:dyDescent="0.3">
      <c r="A243" s="239"/>
      <c r="B243" s="36" t="s">
        <v>817</v>
      </c>
      <c r="C243" s="36" t="s">
        <v>124</v>
      </c>
      <c r="D243" s="37">
        <v>0.57799999999999996</v>
      </c>
      <c r="E243" s="34">
        <v>117.63849999999999</v>
      </c>
      <c r="F243" s="34">
        <f t="shared" si="3"/>
        <v>67.995052999999984</v>
      </c>
      <c r="G243" s="45"/>
      <c r="H243" s="46"/>
      <c r="I243" s="157">
        <v>0</v>
      </c>
    </row>
    <row r="244" spans="1:9" ht="15.75" hidden="1" thickBot="1" x14ac:dyDescent="0.3">
      <c r="A244" s="239"/>
      <c r="B244" s="36" t="s">
        <v>760</v>
      </c>
      <c r="C244" s="36" t="s">
        <v>759</v>
      </c>
      <c r="D244" s="37">
        <v>2.34</v>
      </c>
      <c r="E244" s="31">
        <v>16.311500000000002</v>
      </c>
      <c r="F244" s="34">
        <f t="shared" si="3"/>
        <v>38.168910000000004</v>
      </c>
      <c r="G244" s="45"/>
      <c r="H244" s="46"/>
      <c r="I244" s="157">
        <v>0</v>
      </c>
    </row>
    <row r="245" spans="1:9" ht="26.25" hidden="1" thickBot="1" x14ac:dyDescent="0.3">
      <c r="A245" s="239"/>
      <c r="B245" s="36" t="s">
        <v>1538</v>
      </c>
      <c r="C245" s="36" t="s">
        <v>759</v>
      </c>
      <c r="D245" s="37">
        <v>1.48</v>
      </c>
      <c r="E245" s="31">
        <v>16.5015</v>
      </c>
      <c r="F245" s="100">
        <f t="shared" si="3"/>
        <v>24.422219999999999</v>
      </c>
      <c r="G245" s="45"/>
      <c r="H245" s="46"/>
      <c r="I245" s="157">
        <v>0</v>
      </c>
    </row>
    <row r="246" spans="1:9" ht="39" hidden="1" thickBot="1" x14ac:dyDescent="0.3">
      <c r="A246" s="239"/>
      <c r="B246" s="36" t="s">
        <v>121</v>
      </c>
      <c r="C246" s="36" t="s">
        <v>1001</v>
      </c>
      <c r="D246" s="37">
        <v>0.76</v>
      </c>
      <c r="E246" s="31">
        <v>1.2064999999999999</v>
      </c>
      <c r="F246" s="100">
        <f t="shared" si="3"/>
        <v>0.91693999999999998</v>
      </c>
      <c r="G246" s="45"/>
      <c r="H246" s="46"/>
      <c r="I246" s="157">
        <v>0</v>
      </c>
    </row>
    <row r="247" spans="1:9" ht="39" hidden="1" thickBot="1" x14ac:dyDescent="0.3">
      <c r="A247" s="239"/>
      <c r="B247" s="36" t="s">
        <v>122</v>
      </c>
      <c r="C247" s="47" t="s">
        <v>1003</v>
      </c>
      <c r="D247" s="37">
        <v>0.72</v>
      </c>
      <c r="E247" s="31">
        <v>0.26600000000000001</v>
      </c>
      <c r="F247" s="34">
        <f t="shared" si="3"/>
        <v>0.19152</v>
      </c>
      <c r="G247" s="45"/>
      <c r="H247" s="46"/>
      <c r="I247" s="157">
        <v>0</v>
      </c>
    </row>
    <row r="248" spans="1:9" ht="51.75" hidden="1" thickBot="1" x14ac:dyDescent="0.3">
      <c r="A248" s="239"/>
      <c r="B248" s="36" t="s">
        <v>3619</v>
      </c>
      <c r="C248" s="36" t="s">
        <v>124</v>
      </c>
      <c r="D248" s="37">
        <f>ROUND(1*(D241+D243),4)</f>
        <v>1.405</v>
      </c>
      <c r="E248" s="31">
        <v>5.6237587000000007</v>
      </c>
      <c r="F248" s="34">
        <f t="shared" si="3"/>
        <v>7.9013809735000011</v>
      </c>
      <c r="G248" s="45"/>
      <c r="H248" s="46"/>
      <c r="I248" s="157">
        <v>0</v>
      </c>
    </row>
    <row r="249" spans="1:9" ht="15.75" hidden="1" customHeight="1" x14ac:dyDescent="0.3">
      <c r="A249" s="239"/>
      <c r="B249" s="36" t="s">
        <v>3616</v>
      </c>
      <c r="C249" s="47" t="s">
        <v>126</v>
      </c>
      <c r="D249" s="37">
        <f>ROUND((D241+D243)*20,4)</f>
        <v>28.1</v>
      </c>
      <c r="E249" s="31">
        <v>1.8443850999999998</v>
      </c>
      <c r="F249" s="34">
        <f t="shared" si="3"/>
        <v>51.827221309999999</v>
      </c>
      <c r="G249" s="45"/>
      <c r="H249" s="46"/>
      <c r="I249" s="157">
        <v>0</v>
      </c>
    </row>
    <row r="250" spans="1:9" ht="15.75" hidden="1" thickBot="1" x14ac:dyDescent="0.3">
      <c r="A250" s="239"/>
      <c r="B250" s="51"/>
      <c r="C250" s="47"/>
      <c r="D250" s="37"/>
      <c r="E250" s="31" t="s">
        <v>572</v>
      </c>
      <c r="F250" s="34" t="str">
        <f t="shared" si="3"/>
        <v/>
      </c>
      <c r="G250" s="45"/>
      <c r="H250" s="46"/>
      <c r="I250" s="157">
        <v>0</v>
      </c>
    </row>
    <row r="251" spans="1:9" ht="26.25" hidden="1" thickBot="1" x14ac:dyDescent="0.3">
      <c r="A251" s="239"/>
      <c r="B251" s="48" t="s">
        <v>127</v>
      </c>
      <c r="C251" s="47"/>
      <c r="D251" s="37"/>
      <c r="E251" s="31" t="s">
        <v>572</v>
      </c>
      <c r="F251" s="34" t="str">
        <f t="shared" si="3"/>
        <v/>
      </c>
      <c r="G251" s="45"/>
      <c r="H251" s="46"/>
      <c r="I251" s="157">
        <v>0</v>
      </c>
    </row>
    <row r="252" spans="1:9" ht="15.75" hidden="1" thickBot="1" x14ac:dyDescent="0.3">
      <c r="A252" s="239"/>
      <c r="B252" s="36" t="s">
        <v>572</v>
      </c>
      <c r="C252" s="36"/>
      <c r="D252" s="93"/>
      <c r="E252" s="31" t="s">
        <v>572</v>
      </c>
      <c r="F252" s="31" t="str">
        <f t="shared" si="3"/>
        <v/>
      </c>
      <c r="G252" s="35"/>
      <c r="H252" s="31"/>
      <c r="I252" s="157">
        <v>0</v>
      </c>
    </row>
    <row r="253" spans="1:9" ht="15.75" hidden="1" thickBot="1" x14ac:dyDescent="0.3">
      <c r="A253" s="240" t="s">
        <v>1091</v>
      </c>
      <c r="B253" s="41" t="s">
        <v>572</v>
      </c>
      <c r="C253" s="26" t="s">
        <v>124</v>
      </c>
      <c r="D253" s="94"/>
      <c r="E253" s="42" t="s">
        <v>572</v>
      </c>
      <c r="F253" s="49" t="str">
        <f t="shared" si="3"/>
        <v/>
      </c>
      <c r="G253" s="29"/>
      <c r="H253" s="30"/>
      <c r="I253" s="157">
        <v>0</v>
      </c>
    </row>
    <row r="254" spans="1:9" ht="15.75" hidden="1" thickBot="1" x14ac:dyDescent="0.3">
      <c r="A254" s="239"/>
      <c r="B254" s="32" t="s">
        <v>572</v>
      </c>
      <c r="C254" s="32"/>
      <c r="D254" s="92"/>
      <c r="E254" s="43" t="s">
        <v>572</v>
      </c>
      <c r="F254" s="31" t="str">
        <f t="shared" si="3"/>
        <v/>
      </c>
      <c r="G254" s="35"/>
      <c r="H254" s="31"/>
      <c r="I254" s="157">
        <v>0</v>
      </c>
    </row>
    <row r="255" spans="1:9" ht="26.25" hidden="1" thickBot="1" x14ac:dyDescent="0.3">
      <c r="A255" s="239"/>
      <c r="B255" s="36" t="s">
        <v>1372</v>
      </c>
      <c r="C255" s="36" t="s">
        <v>124</v>
      </c>
      <c r="D255" s="37">
        <v>0.51</v>
      </c>
      <c r="E255" s="34">
        <v>112.63199999999999</v>
      </c>
      <c r="F255" s="34">
        <f t="shared" si="3"/>
        <v>57.442319999999995</v>
      </c>
      <c r="G255" s="45">
        <f>SUM(F255:F263)</f>
        <v>442.352063735</v>
      </c>
      <c r="H255" s="46"/>
      <c r="I255" s="157">
        <v>0</v>
      </c>
    </row>
    <row r="256" spans="1:9" ht="15.75" hidden="1" thickBot="1" x14ac:dyDescent="0.3">
      <c r="A256" s="239"/>
      <c r="B256" s="36" t="s">
        <v>1540</v>
      </c>
      <c r="C256" s="36" t="s">
        <v>957</v>
      </c>
      <c r="D256" s="37">
        <v>10.35</v>
      </c>
      <c r="E256" s="34">
        <v>0.85499999999999998</v>
      </c>
      <c r="F256" s="34">
        <f t="shared" si="3"/>
        <v>8.8492499999999996</v>
      </c>
      <c r="G256" s="45"/>
      <c r="H256" s="46"/>
      <c r="I256" s="157">
        <v>0</v>
      </c>
    </row>
    <row r="257" spans="1:9" ht="15.75" hidden="1" customHeight="1" x14ac:dyDescent="0.3">
      <c r="A257" s="239"/>
      <c r="B257" s="36" t="s">
        <v>805</v>
      </c>
      <c r="C257" s="36" t="s">
        <v>957</v>
      </c>
      <c r="D257" s="37">
        <v>431.3</v>
      </c>
      <c r="E257" s="34">
        <v>0.47499999999999998</v>
      </c>
      <c r="F257" s="34">
        <f t="shared" si="3"/>
        <v>204.86750000000001</v>
      </c>
      <c r="G257" s="45"/>
      <c r="H257" s="46"/>
      <c r="I257" s="157">
        <v>0</v>
      </c>
    </row>
    <row r="258" spans="1:9" ht="26.25" hidden="1" thickBot="1" x14ac:dyDescent="0.3">
      <c r="A258" s="239"/>
      <c r="B258" s="36" t="s">
        <v>814</v>
      </c>
      <c r="C258" s="36" t="s">
        <v>124</v>
      </c>
      <c r="D258" s="37">
        <v>0.54</v>
      </c>
      <c r="E258" s="31">
        <v>135.81200000000001</v>
      </c>
      <c r="F258" s="34">
        <f t="shared" si="3"/>
        <v>73.338480000000004</v>
      </c>
      <c r="G258" s="45"/>
      <c r="H258" s="46"/>
      <c r="I258" s="157">
        <v>0</v>
      </c>
    </row>
    <row r="259" spans="1:9" ht="26.25" hidden="1" thickBot="1" x14ac:dyDescent="0.3">
      <c r="A259" s="239"/>
      <c r="B259" s="36" t="s">
        <v>1538</v>
      </c>
      <c r="C259" s="36" t="s">
        <v>759</v>
      </c>
      <c r="D259" s="37">
        <v>3.12</v>
      </c>
      <c r="E259" s="31">
        <v>16.5015</v>
      </c>
      <c r="F259" s="34">
        <f t="shared" si="3"/>
        <v>51.484680000000004</v>
      </c>
      <c r="G259" s="45"/>
      <c r="H259" s="46"/>
      <c r="I259" s="157">
        <v>0</v>
      </c>
    </row>
    <row r="260" spans="1:9" ht="39" hidden="1" thickBot="1" x14ac:dyDescent="0.3">
      <c r="A260" s="239"/>
      <c r="B260" s="36" t="s">
        <v>121</v>
      </c>
      <c r="C260" s="36" t="s">
        <v>1001</v>
      </c>
      <c r="D260" s="37">
        <v>0.96</v>
      </c>
      <c r="E260" s="31">
        <v>1.2064999999999999</v>
      </c>
      <c r="F260" s="97">
        <f t="shared" si="3"/>
        <v>1.1582399999999999</v>
      </c>
      <c r="G260" s="45"/>
      <c r="H260" s="46"/>
      <c r="I260" s="157">
        <v>0</v>
      </c>
    </row>
    <row r="261" spans="1:9" ht="39" hidden="1" thickBot="1" x14ac:dyDescent="0.3">
      <c r="A261" s="239"/>
      <c r="B261" s="36" t="s">
        <v>122</v>
      </c>
      <c r="C261" s="36" t="s">
        <v>1003</v>
      </c>
      <c r="D261" s="37">
        <v>2.16</v>
      </c>
      <c r="E261" s="31">
        <v>0.26600000000000001</v>
      </c>
      <c r="F261" s="97">
        <f t="shared" si="3"/>
        <v>0.57456000000000007</v>
      </c>
      <c r="G261" s="45"/>
      <c r="H261" s="46"/>
      <c r="I261" s="157">
        <v>0</v>
      </c>
    </row>
    <row r="262" spans="1:9" ht="51.75" hidden="1" thickBot="1" x14ac:dyDescent="0.3">
      <c r="A262" s="239"/>
      <c r="B262" s="36" t="s">
        <v>3619</v>
      </c>
      <c r="C262" s="36" t="s">
        <v>124</v>
      </c>
      <c r="D262" s="37">
        <f>ROUND(1*(D255+D258),4)</f>
        <v>1.05</v>
      </c>
      <c r="E262" s="31">
        <v>5.6237587000000007</v>
      </c>
      <c r="F262" s="34">
        <f t="shared" ref="F262:F325" si="4">IF(ISNUMBER(E262),E262*$D262,"")</f>
        <v>5.9049466350000008</v>
      </c>
      <c r="G262" s="45"/>
      <c r="H262" s="46"/>
      <c r="I262" s="157">
        <v>0</v>
      </c>
    </row>
    <row r="263" spans="1:9" ht="39" hidden="1" thickBot="1" x14ac:dyDescent="0.3">
      <c r="A263" s="239"/>
      <c r="B263" s="36" t="s">
        <v>3616</v>
      </c>
      <c r="C263" s="47" t="s">
        <v>126</v>
      </c>
      <c r="D263" s="37">
        <f>ROUND((D255+D258)*20,4)</f>
        <v>21</v>
      </c>
      <c r="E263" s="31">
        <v>1.8443850999999998</v>
      </c>
      <c r="F263" s="34">
        <f t="shared" si="4"/>
        <v>38.732087099999994</v>
      </c>
      <c r="G263" s="45"/>
      <c r="H263" s="46"/>
      <c r="I263" s="157">
        <v>0</v>
      </c>
    </row>
    <row r="264" spans="1:9" ht="15.75" hidden="1" thickBot="1" x14ac:dyDescent="0.3">
      <c r="A264" s="239"/>
      <c r="B264" s="51"/>
      <c r="C264" s="47"/>
      <c r="D264" s="37"/>
      <c r="E264" s="31" t="s">
        <v>572</v>
      </c>
      <c r="F264" s="34" t="str">
        <f t="shared" si="4"/>
        <v/>
      </c>
      <c r="G264" s="45"/>
      <c r="H264" s="46"/>
      <c r="I264" s="157">
        <v>0</v>
      </c>
    </row>
    <row r="265" spans="1:9" ht="15.75" hidden="1" customHeight="1" x14ac:dyDescent="0.3">
      <c r="A265" s="239"/>
      <c r="B265" s="48" t="s">
        <v>127</v>
      </c>
      <c r="C265" s="47"/>
      <c r="D265" s="37"/>
      <c r="E265" s="31" t="s">
        <v>572</v>
      </c>
      <c r="F265" s="34" t="str">
        <f t="shared" si="4"/>
        <v/>
      </c>
      <c r="G265" s="45"/>
      <c r="H265" s="46"/>
      <c r="I265" s="157">
        <v>0</v>
      </c>
    </row>
    <row r="266" spans="1:9" ht="15.75" hidden="1" thickBot="1" x14ac:dyDescent="0.3">
      <c r="A266" s="239"/>
      <c r="B266" s="36"/>
      <c r="C266" s="36"/>
      <c r="D266" s="93"/>
      <c r="E266" s="31" t="s">
        <v>572</v>
      </c>
      <c r="F266" s="31" t="str">
        <f t="shared" si="4"/>
        <v/>
      </c>
      <c r="G266" s="35"/>
      <c r="H266" s="31"/>
      <c r="I266" s="157">
        <v>0</v>
      </c>
    </row>
    <row r="267" spans="1:9" ht="15.75" hidden="1" thickBot="1" x14ac:dyDescent="0.3">
      <c r="A267" s="239" t="s">
        <v>1078</v>
      </c>
      <c r="B267" s="41" t="s">
        <v>572</v>
      </c>
      <c r="C267" s="26" t="s">
        <v>124</v>
      </c>
      <c r="D267" s="94"/>
      <c r="E267" s="28" t="s">
        <v>572</v>
      </c>
      <c r="F267" s="26" t="str">
        <f t="shared" si="4"/>
        <v/>
      </c>
      <c r="G267" s="29"/>
      <c r="H267" s="30"/>
      <c r="I267" s="157">
        <v>0</v>
      </c>
    </row>
    <row r="268" spans="1:9" ht="15.75" hidden="1" thickBot="1" x14ac:dyDescent="0.3">
      <c r="A268" s="239"/>
      <c r="B268" s="32" t="s">
        <v>572</v>
      </c>
      <c r="C268" s="32"/>
      <c r="D268" s="92"/>
      <c r="E268" s="31" t="s">
        <v>572</v>
      </c>
      <c r="F268" s="31" t="str">
        <f t="shared" si="4"/>
        <v/>
      </c>
      <c r="G268" s="35"/>
      <c r="H268" s="31"/>
      <c r="I268" s="157">
        <v>0</v>
      </c>
    </row>
    <row r="269" spans="1:9" ht="15.75" hidden="1" thickBot="1" x14ac:dyDescent="0.3">
      <c r="A269" s="239"/>
      <c r="B269" s="36" t="s">
        <v>117</v>
      </c>
      <c r="C269" s="36" t="s">
        <v>124</v>
      </c>
      <c r="D269" s="37">
        <v>1.25</v>
      </c>
      <c r="E269" s="31">
        <v>90.25</v>
      </c>
      <c r="F269" s="34">
        <f t="shared" si="4"/>
        <v>112.8125</v>
      </c>
      <c r="G269" s="45">
        <f>SUM(F269:F273)</f>
        <v>623.68605087499998</v>
      </c>
      <c r="H269" s="46"/>
      <c r="I269" s="157">
        <v>0</v>
      </c>
    </row>
    <row r="270" spans="1:9" ht="15.75" hidden="1" thickBot="1" x14ac:dyDescent="0.3">
      <c r="A270" s="239"/>
      <c r="B270" s="36" t="s">
        <v>118</v>
      </c>
      <c r="C270" s="36" t="s">
        <v>957</v>
      </c>
      <c r="D270" s="37">
        <v>563.59</v>
      </c>
      <c r="E270" s="34">
        <v>0.47499999999999998</v>
      </c>
      <c r="F270" s="34">
        <f t="shared" si="4"/>
        <v>267.70524999999998</v>
      </c>
      <c r="G270" s="45"/>
      <c r="H270" s="46"/>
      <c r="I270" s="157">
        <v>0</v>
      </c>
    </row>
    <row r="271" spans="1:9" ht="15.75" hidden="1" thickBot="1" x14ac:dyDescent="0.3">
      <c r="A271" s="239"/>
      <c r="B271" s="36" t="s">
        <v>1511</v>
      </c>
      <c r="C271" s="36" t="s">
        <v>759</v>
      </c>
      <c r="D271" s="37">
        <v>11.65</v>
      </c>
      <c r="E271" s="31">
        <v>16.311500000000002</v>
      </c>
      <c r="F271" s="34">
        <f t="shared" si="4"/>
        <v>190.02897500000003</v>
      </c>
      <c r="G271" s="45"/>
      <c r="H271" s="46"/>
      <c r="I271" s="157">
        <v>0</v>
      </c>
    </row>
    <row r="272" spans="1:9" ht="51.75" hidden="1" thickBot="1" x14ac:dyDescent="0.3">
      <c r="A272" s="239"/>
      <c r="B272" s="36" t="s">
        <v>3619</v>
      </c>
      <c r="C272" s="36" t="s">
        <v>124</v>
      </c>
      <c r="D272" s="37">
        <f>ROUND(1*(D269),4)</f>
        <v>1.25</v>
      </c>
      <c r="E272" s="31">
        <v>5.6237587000000007</v>
      </c>
      <c r="F272" s="34">
        <f t="shared" si="4"/>
        <v>7.0296983750000006</v>
      </c>
      <c r="G272" s="45"/>
      <c r="H272" s="46"/>
      <c r="I272" s="157">
        <v>0</v>
      </c>
    </row>
    <row r="273" spans="1:9" ht="39" hidden="1" thickBot="1" x14ac:dyDescent="0.3">
      <c r="A273" s="239"/>
      <c r="B273" s="36" t="s">
        <v>3616</v>
      </c>
      <c r="C273" s="47" t="s">
        <v>126</v>
      </c>
      <c r="D273" s="37">
        <f>ROUND(D269*20,4)</f>
        <v>25</v>
      </c>
      <c r="E273" s="31">
        <v>1.8443850999999998</v>
      </c>
      <c r="F273" s="34">
        <f t="shared" si="4"/>
        <v>46.109627499999995</v>
      </c>
      <c r="G273" s="45"/>
      <c r="H273" s="46"/>
      <c r="I273" s="157">
        <v>0</v>
      </c>
    </row>
    <row r="274" spans="1:9" ht="15.75" hidden="1" thickBot="1" x14ac:dyDescent="0.3">
      <c r="A274" s="239"/>
      <c r="B274" s="51"/>
      <c r="C274" s="47"/>
      <c r="D274" s="37"/>
      <c r="E274" s="31" t="s">
        <v>572</v>
      </c>
      <c r="F274" s="34" t="str">
        <f t="shared" si="4"/>
        <v/>
      </c>
      <c r="G274" s="45"/>
      <c r="H274" s="46"/>
      <c r="I274" s="157">
        <v>0</v>
      </c>
    </row>
    <row r="275" spans="1:9" ht="15.75" hidden="1" thickBot="1" x14ac:dyDescent="0.3">
      <c r="A275" s="239"/>
      <c r="B275" s="48" t="s">
        <v>812</v>
      </c>
      <c r="C275" s="47"/>
      <c r="D275" s="37"/>
      <c r="E275" s="31" t="s">
        <v>572</v>
      </c>
      <c r="F275" s="34" t="str">
        <f t="shared" si="4"/>
        <v/>
      </c>
      <c r="G275" s="45"/>
      <c r="H275" s="46"/>
      <c r="I275" s="157">
        <v>0</v>
      </c>
    </row>
    <row r="276" spans="1:9" ht="15.75" hidden="1" thickBot="1" x14ac:dyDescent="0.3">
      <c r="A276" s="241"/>
      <c r="B276" s="36" t="s">
        <v>572</v>
      </c>
      <c r="C276" s="36"/>
      <c r="D276" s="93"/>
      <c r="E276" s="31" t="s">
        <v>572</v>
      </c>
      <c r="F276" s="34" t="str">
        <f t="shared" si="4"/>
        <v/>
      </c>
      <c r="G276" s="35"/>
      <c r="H276" s="31"/>
      <c r="I276" s="157">
        <v>0</v>
      </c>
    </row>
    <row r="277" spans="1:9" ht="15.75" hidden="1" thickBot="1" x14ac:dyDescent="0.3">
      <c r="A277" s="239" t="s">
        <v>752</v>
      </c>
      <c r="B277" s="41" t="s">
        <v>572</v>
      </c>
      <c r="C277" s="26" t="s">
        <v>20</v>
      </c>
      <c r="D277" s="94"/>
      <c r="E277" s="28" t="s">
        <v>572</v>
      </c>
      <c r="F277" s="26" t="str">
        <f t="shared" si="4"/>
        <v/>
      </c>
      <c r="G277" s="29"/>
      <c r="H277" s="30"/>
      <c r="I277" s="157">
        <v>0</v>
      </c>
    </row>
    <row r="278" spans="1:9" ht="15.75" hidden="1" thickBot="1" x14ac:dyDescent="0.3">
      <c r="A278" s="239"/>
      <c r="B278" s="32" t="s">
        <v>572</v>
      </c>
      <c r="C278" s="32"/>
      <c r="D278" s="92"/>
      <c r="E278" s="31" t="s">
        <v>572</v>
      </c>
      <c r="F278" s="31" t="str">
        <f t="shared" si="4"/>
        <v/>
      </c>
      <c r="G278" s="35"/>
      <c r="H278" s="31"/>
      <c r="I278" s="157">
        <v>0</v>
      </c>
    </row>
    <row r="279" spans="1:9" ht="15.75" hidden="1" customHeight="1" x14ac:dyDescent="0.3">
      <c r="A279" s="239"/>
      <c r="B279" s="36" t="s">
        <v>1541</v>
      </c>
      <c r="C279" s="36" t="s">
        <v>1542</v>
      </c>
      <c r="D279" s="37">
        <v>1</v>
      </c>
      <c r="E279" s="31">
        <v>199.6045</v>
      </c>
      <c r="F279" s="34">
        <f t="shared" si="4"/>
        <v>199.6045</v>
      </c>
      <c r="G279" s="45">
        <f>SUM(F279:F283)</f>
        <v>282.481854</v>
      </c>
      <c r="H279" s="46"/>
      <c r="I279" s="157">
        <v>0</v>
      </c>
    </row>
    <row r="280" spans="1:9" ht="15.75" hidden="1" thickBot="1" x14ac:dyDescent="0.3">
      <c r="A280" s="239"/>
      <c r="B280" s="36" t="s">
        <v>1543</v>
      </c>
      <c r="C280" s="36" t="s">
        <v>957</v>
      </c>
      <c r="D280" s="37">
        <v>1.0999999999999999E-2</v>
      </c>
      <c r="E280" s="34">
        <v>22.914000000000001</v>
      </c>
      <c r="F280" s="34">
        <f t="shared" si="4"/>
        <v>0.252054</v>
      </c>
      <c r="G280" s="45"/>
      <c r="H280" s="46"/>
      <c r="I280" s="157">
        <v>0</v>
      </c>
    </row>
    <row r="281" spans="1:9" ht="15.75" hidden="1" thickBot="1" x14ac:dyDescent="0.3">
      <c r="A281" s="239"/>
      <c r="B281" s="36" t="s">
        <v>101</v>
      </c>
      <c r="C281" s="36" t="s">
        <v>957</v>
      </c>
      <c r="D281" s="37">
        <v>2.4E-2</v>
      </c>
      <c r="E281" s="31">
        <v>17.394499999999997</v>
      </c>
      <c r="F281" s="34">
        <f t="shared" si="4"/>
        <v>0.41746799999999995</v>
      </c>
      <c r="G281" s="45"/>
      <c r="H281" s="46"/>
      <c r="I281" s="157">
        <v>0</v>
      </c>
    </row>
    <row r="282" spans="1:9" ht="15.75" hidden="1" thickBot="1" x14ac:dyDescent="0.3">
      <c r="A282" s="239"/>
      <c r="B282" s="36" t="s">
        <v>758</v>
      </c>
      <c r="C282" s="36" t="s">
        <v>759</v>
      </c>
      <c r="D282" s="37">
        <v>2.7410000000000001</v>
      </c>
      <c r="E282" s="31">
        <v>21.916499999999999</v>
      </c>
      <c r="F282" s="34">
        <f t="shared" si="4"/>
        <v>60.073126500000001</v>
      </c>
      <c r="G282" s="45"/>
      <c r="H282" s="46"/>
      <c r="I282" s="157">
        <v>0</v>
      </c>
    </row>
    <row r="283" spans="1:9" ht="15.75" hidden="1" thickBot="1" x14ac:dyDescent="0.3">
      <c r="A283" s="239"/>
      <c r="B283" s="36" t="s">
        <v>760</v>
      </c>
      <c r="C283" s="47" t="s">
        <v>759</v>
      </c>
      <c r="D283" s="37">
        <v>1.357</v>
      </c>
      <c r="E283" s="31">
        <v>16.311500000000002</v>
      </c>
      <c r="F283" s="34">
        <f t="shared" si="4"/>
        <v>22.134705500000003</v>
      </c>
      <c r="G283" s="45"/>
      <c r="H283" s="46"/>
      <c r="I283" s="157">
        <v>0</v>
      </c>
    </row>
    <row r="284" spans="1:9" ht="15.75" hidden="1" thickBot="1" x14ac:dyDescent="0.3">
      <c r="A284" s="239"/>
      <c r="B284" s="51"/>
      <c r="C284" s="47"/>
      <c r="D284" s="37"/>
      <c r="E284" s="31" t="s">
        <v>572</v>
      </c>
      <c r="F284" s="34" t="str">
        <f t="shared" si="4"/>
        <v/>
      </c>
      <c r="G284" s="45"/>
      <c r="H284" s="46"/>
      <c r="I284" s="157">
        <v>0</v>
      </c>
    </row>
    <row r="285" spans="1:9" ht="15.75" hidden="1" thickBot="1" x14ac:dyDescent="0.3">
      <c r="A285" s="240" t="s">
        <v>1549</v>
      </c>
      <c r="B285" s="41" t="s">
        <v>572</v>
      </c>
      <c r="C285" s="26" t="s">
        <v>124</v>
      </c>
      <c r="D285" s="94"/>
      <c r="E285" s="28" t="s">
        <v>572</v>
      </c>
      <c r="F285" s="28" t="str">
        <f t="shared" si="4"/>
        <v/>
      </c>
      <c r="G285" s="29"/>
      <c r="H285" s="30"/>
      <c r="I285" s="157">
        <v>0</v>
      </c>
    </row>
    <row r="286" spans="1:9" ht="15.75" hidden="1" thickBot="1" x14ac:dyDescent="0.3">
      <c r="A286" s="239"/>
      <c r="B286" s="32" t="s">
        <v>572</v>
      </c>
      <c r="C286" s="32"/>
      <c r="D286" s="92"/>
      <c r="E286" s="31" t="s">
        <v>572</v>
      </c>
      <c r="F286" s="99" t="str">
        <f t="shared" si="4"/>
        <v/>
      </c>
      <c r="G286" s="101"/>
      <c r="H286" s="99"/>
      <c r="I286" s="157">
        <v>0</v>
      </c>
    </row>
    <row r="287" spans="1:9" ht="15.75" hidden="1" thickBot="1" x14ac:dyDescent="0.3">
      <c r="A287" s="239"/>
      <c r="B287" s="36" t="s">
        <v>117</v>
      </c>
      <c r="C287" s="36" t="s">
        <v>124</v>
      </c>
      <c r="D287" s="37">
        <v>1.07</v>
      </c>
      <c r="E287" s="31">
        <v>90.25</v>
      </c>
      <c r="F287" s="34">
        <f t="shared" si="4"/>
        <v>96.56750000000001</v>
      </c>
      <c r="G287" s="45">
        <f>SUM(F287:F292)</f>
        <v>575.77716794900005</v>
      </c>
      <c r="H287" s="46"/>
      <c r="I287" s="157">
        <v>0</v>
      </c>
    </row>
    <row r="288" spans="1:9" ht="15.75" hidden="1" thickBot="1" x14ac:dyDescent="0.3">
      <c r="A288" s="239"/>
      <c r="B288" s="36" t="s">
        <v>1540</v>
      </c>
      <c r="C288" s="36" t="s">
        <v>957</v>
      </c>
      <c r="D288" s="37">
        <v>75.47</v>
      </c>
      <c r="E288" s="31">
        <v>0.85499999999999998</v>
      </c>
      <c r="F288" s="34">
        <f t="shared" si="4"/>
        <v>64.526849999999996</v>
      </c>
      <c r="G288" s="45"/>
      <c r="H288" s="46"/>
      <c r="I288" s="157">
        <v>0</v>
      </c>
    </row>
    <row r="289" spans="1:9" ht="15.75" hidden="1" customHeight="1" x14ac:dyDescent="0.3">
      <c r="A289" s="239"/>
      <c r="B289" s="36" t="s">
        <v>118</v>
      </c>
      <c r="C289" s="36" t="s">
        <v>957</v>
      </c>
      <c r="D289" s="37">
        <v>482.96</v>
      </c>
      <c r="E289" s="34">
        <v>0.47499999999999998</v>
      </c>
      <c r="F289" s="34">
        <f t="shared" si="4"/>
        <v>229.40599999999998</v>
      </c>
      <c r="G289" s="45"/>
      <c r="H289" s="46"/>
      <c r="I289" s="157">
        <v>0</v>
      </c>
    </row>
    <row r="290" spans="1:9" ht="15.75" hidden="1" thickBot="1" x14ac:dyDescent="0.3">
      <c r="A290" s="239"/>
      <c r="B290" s="36" t="s">
        <v>1511</v>
      </c>
      <c r="C290" s="36" t="s">
        <v>759</v>
      </c>
      <c r="D290" s="37">
        <v>8.57</v>
      </c>
      <c r="E290" s="31">
        <v>16.311500000000002</v>
      </c>
      <c r="F290" s="34">
        <f t="shared" si="4"/>
        <v>139.78955500000004</v>
      </c>
      <c r="G290" s="45"/>
      <c r="H290" s="46"/>
      <c r="I290" s="157">
        <v>0</v>
      </c>
    </row>
    <row r="291" spans="1:9" ht="51.75" hidden="1" thickBot="1" x14ac:dyDescent="0.3">
      <c r="A291" s="239"/>
      <c r="B291" s="36" t="s">
        <v>3619</v>
      </c>
      <c r="C291" s="36" t="s">
        <v>124</v>
      </c>
      <c r="D291" s="37">
        <f>ROUND(1*D287,4)</f>
        <v>1.07</v>
      </c>
      <c r="E291" s="31">
        <v>5.6237587000000007</v>
      </c>
      <c r="F291" s="34">
        <f t="shared" si="4"/>
        <v>6.0174218090000009</v>
      </c>
      <c r="G291" s="45"/>
      <c r="H291" s="46"/>
      <c r="I291" s="157">
        <v>0</v>
      </c>
    </row>
    <row r="292" spans="1:9" ht="39" hidden="1" thickBot="1" x14ac:dyDescent="0.3">
      <c r="A292" s="239"/>
      <c r="B292" s="36" t="s">
        <v>3616</v>
      </c>
      <c r="C292" s="47" t="s">
        <v>126</v>
      </c>
      <c r="D292" s="37">
        <f>ROUND(D287*20,4)</f>
        <v>21.4</v>
      </c>
      <c r="E292" s="31">
        <v>1.8443850999999998</v>
      </c>
      <c r="F292" s="34">
        <f t="shared" si="4"/>
        <v>39.469841139999993</v>
      </c>
      <c r="G292" s="45"/>
      <c r="H292" s="46"/>
      <c r="I292" s="157">
        <v>0</v>
      </c>
    </row>
    <row r="293" spans="1:9" ht="15.75" hidden="1" thickBot="1" x14ac:dyDescent="0.3">
      <c r="A293" s="239"/>
      <c r="B293" s="51"/>
      <c r="C293" s="47"/>
      <c r="D293" s="37"/>
      <c r="E293" s="31" t="s">
        <v>572</v>
      </c>
      <c r="F293" s="34" t="str">
        <f t="shared" si="4"/>
        <v/>
      </c>
      <c r="G293" s="45"/>
      <c r="H293" s="46"/>
      <c r="I293" s="157">
        <v>0</v>
      </c>
    </row>
    <row r="294" spans="1:9" ht="15.75" hidden="1" thickBot="1" x14ac:dyDescent="0.3">
      <c r="A294" s="239"/>
      <c r="B294" s="48" t="s">
        <v>812</v>
      </c>
      <c r="C294" s="47"/>
      <c r="D294" s="37"/>
      <c r="E294" s="31" t="s">
        <v>572</v>
      </c>
      <c r="F294" s="34" t="str">
        <f t="shared" si="4"/>
        <v/>
      </c>
      <c r="G294" s="45"/>
      <c r="H294" s="46"/>
      <c r="I294" s="157">
        <v>0</v>
      </c>
    </row>
    <row r="295" spans="1:9" ht="15.75" hidden="1" thickBot="1" x14ac:dyDescent="0.3">
      <c r="A295" s="241"/>
      <c r="B295" s="55" t="s">
        <v>572</v>
      </c>
      <c r="C295" s="55"/>
      <c r="D295" s="96"/>
      <c r="E295" s="67" t="s">
        <v>572</v>
      </c>
      <c r="F295" s="67" t="str">
        <f t="shared" si="4"/>
        <v/>
      </c>
      <c r="G295" s="69"/>
      <c r="H295" s="31"/>
      <c r="I295" s="157">
        <v>0</v>
      </c>
    </row>
    <row r="296" spans="1:9" ht="15.75" hidden="1" thickBot="1" x14ac:dyDescent="0.3">
      <c r="A296" s="239" t="s">
        <v>1228</v>
      </c>
      <c r="B296" s="167" t="s">
        <v>572</v>
      </c>
      <c r="C296" s="90" t="s">
        <v>957</v>
      </c>
      <c r="D296" s="91"/>
      <c r="E296" s="71" t="s">
        <v>572</v>
      </c>
      <c r="F296" s="71" t="str">
        <f t="shared" si="4"/>
        <v/>
      </c>
      <c r="G296" s="72"/>
      <c r="H296" s="30"/>
      <c r="I296" s="157">
        <v>0</v>
      </c>
    </row>
    <row r="297" spans="1:9" ht="15.75" hidden="1" thickBot="1" x14ac:dyDescent="0.3">
      <c r="A297" s="239"/>
      <c r="B297" s="32" t="s">
        <v>572</v>
      </c>
      <c r="C297" s="32"/>
      <c r="D297" s="92"/>
      <c r="E297" s="31" t="s">
        <v>572</v>
      </c>
      <c r="F297" s="31" t="str">
        <f t="shared" si="4"/>
        <v/>
      </c>
      <c r="G297" s="35"/>
      <c r="H297" s="31"/>
      <c r="I297" s="157">
        <v>0</v>
      </c>
    </row>
    <row r="298" spans="1:9" ht="39" hidden="1" thickBot="1" x14ac:dyDescent="0.3">
      <c r="A298" s="239"/>
      <c r="B298" s="36" t="s">
        <v>958</v>
      </c>
      <c r="C298" s="36" t="s">
        <v>299</v>
      </c>
      <c r="D298" s="37">
        <v>2.8159999999999998</v>
      </c>
      <c r="E298" s="31">
        <v>0.17099999999999999</v>
      </c>
      <c r="F298" s="34">
        <f t="shared" si="4"/>
        <v>0.48153599999999991</v>
      </c>
      <c r="G298" s="45">
        <f>SUM(F298:F302)</f>
        <v>17.080738749999998</v>
      </c>
      <c r="H298" s="46"/>
      <c r="I298" s="157">
        <v>0</v>
      </c>
    </row>
    <row r="299" spans="1:9" ht="26.25" hidden="1" thickBot="1" x14ac:dyDescent="0.3">
      <c r="A299" s="239"/>
      <c r="B299" s="36" t="s">
        <v>3606</v>
      </c>
      <c r="C299" s="36" t="s">
        <v>957</v>
      </c>
      <c r="D299" s="37">
        <v>2.5000000000000001E-2</v>
      </c>
      <c r="E299" s="31">
        <v>18.838499999999996</v>
      </c>
      <c r="F299" s="34">
        <f t="shared" si="4"/>
        <v>0.47096249999999995</v>
      </c>
      <c r="G299" s="45"/>
      <c r="H299" s="46"/>
      <c r="I299" s="157">
        <v>0</v>
      </c>
    </row>
    <row r="300" spans="1:9" ht="15.75" hidden="1" thickBot="1" x14ac:dyDescent="0.3">
      <c r="A300" s="239"/>
      <c r="B300" s="36" t="s">
        <v>959</v>
      </c>
      <c r="C300" s="36" t="s">
        <v>759</v>
      </c>
      <c r="D300" s="37">
        <v>3.1E-2</v>
      </c>
      <c r="E300" s="34">
        <v>17.081</v>
      </c>
      <c r="F300" s="34">
        <f t="shared" si="4"/>
        <v>0.52951099999999995</v>
      </c>
      <c r="G300" s="45"/>
      <c r="H300" s="46"/>
      <c r="I300" s="157">
        <v>0</v>
      </c>
    </row>
    <row r="301" spans="1:9" ht="15.75" hidden="1" customHeight="1" x14ac:dyDescent="0.3">
      <c r="A301" s="239"/>
      <c r="B301" s="36" t="s">
        <v>960</v>
      </c>
      <c r="C301" s="36" t="s">
        <v>759</v>
      </c>
      <c r="D301" s="37">
        <v>0.18959999999999999</v>
      </c>
      <c r="E301" s="31">
        <v>21.973499999999998</v>
      </c>
      <c r="F301" s="34">
        <f t="shared" si="4"/>
        <v>4.166175599999999</v>
      </c>
      <c r="G301" s="45"/>
      <c r="H301" s="46"/>
      <c r="I301" s="157">
        <v>0</v>
      </c>
    </row>
    <row r="302" spans="1:9" ht="26.25" hidden="1" thickBot="1" x14ac:dyDescent="0.3">
      <c r="A302" s="239"/>
      <c r="B302" s="36" t="s">
        <v>1544</v>
      </c>
      <c r="C302" s="47" t="s">
        <v>957</v>
      </c>
      <c r="D302" s="37">
        <v>1</v>
      </c>
      <c r="E302" s="31">
        <v>11.432553649999999</v>
      </c>
      <c r="F302" s="34">
        <f t="shared" si="4"/>
        <v>11.432553649999999</v>
      </c>
      <c r="G302" s="45"/>
      <c r="H302" s="46"/>
      <c r="I302" s="157">
        <v>0</v>
      </c>
    </row>
    <row r="303" spans="1:9" ht="15.75" hidden="1" thickBot="1" x14ac:dyDescent="0.3">
      <c r="A303" s="239"/>
      <c r="B303" s="51"/>
      <c r="C303" s="47"/>
      <c r="D303" s="37"/>
      <c r="E303" s="31" t="s">
        <v>572</v>
      </c>
      <c r="F303" s="34" t="str">
        <f t="shared" si="4"/>
        <v/>
      </c>
      <c r="G303" s="45"/>
      <c r="H303" s="46"/>
      <c r="I303" s="157">
        <v>0</v>
      </c>
    </row>
    <row r="304" spans="1:9" ht="15.75" hidden="1" thickBot="1" x14ac:dyDescent="0.3">
      <c r="A304" s="240" t="s">
        <v>1544</v>
      </c>
      <c r="B304" s="41" t="s">
        <v>572</v>
      </c>
      <c r="C304" s="26" t="s">
        <v>957</v>
      </c>
      <c r="D304" s="94"/>
      <c r="E304" s="28" t="s">
        <v>572</v>
      </c>
      <c r="F304" s="26" t="str">
        <f t="shared" si="4"/>
        <v/>
      </c>
      <c r="G304" s="29"/>
      <c r="H304" s="30"/>
      <c r="I304" s="157">
        <v>0</v>
      </c>
    </row>
    <row r="305" spans="1:9" ht="15.75" hidden="1" customHeight="1" x14ac:dyDescent="0.3">
      <c r="A305" s="239"/>
      <c r="B305" s="32" t="s">
        <v>572</v>
      </c>
      <c r="C305" s="32"/>
      <c r="D305" s="92"/>
      <c r="E305" s="31" t="s">
        <v>572</v>
      </c>
      <c r="F305" s="99" t="str">
        <f t="shared" si="4"/>
        <v/>
      </c>
      <c r="G305" s="101"/>
      <c r="H305" s="99"/>
      <c r="I305" s="157">
        <v>0</v>
      </c>
    </row>
    <row r="306" spans="1:9" ht="15.75" hidden="1" thickBot="1" x14ac:dyDescent="0.3">
      <c r="A306" s="239"/>
      <c r="B306" s="36" t="s">
        <v>1550</v>
      </c>
      <c r="C306" s="36" t="s">
        <v>957</v>
      </c>
      <c r="D306" s="37">
        <v>1.07</v>
      </c>
      <c r="E306" s="34">
        <v>8.5594999999999999</v>
      </c>
      <c r="F306" s="34">
        <f t="shared" si="4"/>
        <v>9.1586650000000009</v>
      </c>
      <c r="G306" s="45">
        <f>SUM(F306:F308)</f>
        <v>11.432553650000001</v>
      </c>
      <c r="H306" s="46"/>
      <c r="I306" s="157">
        <v>0</v>
      </c>
    </row>
    <row r="307" spans="1:9" ht="15.75" hidden="1" thickBot="1" x14ac:dyDescent="0.3">
      <c r="A307" s="239"/>
      <c r="B307" s="36" t="s">
        <v>959</v>
      </c>
      <c r="C307" s="36" t="s">
        <v>759</v>
      </c>
      <c r="D307" s="37">
        <v>1.3100000000000001E-2</v>
      </c>
      <c r="E307" s="34">
        <v>17.081</v>
      </c>
      <c r="F307" s="34">
        <f t="shared" si="4"/>
        <v>0.22376109999999999</v>
      </c>
      <c r="G307" s="45"/>
      <c r="H307" s="46"/>
      <c r="I307" s="157">
        <v>0</v>
      </c>
    </row>
    <row r="308" spans="1:9" ht="15.75" hidden="1" thickBot="1" x14ac:dyDescent="0.3">
      <c r="A308" s="239"/>
      <c r="B308" s="36" t="s">
        <v>960</v>
      </c>
      <c r="C308" s="36" t="s">
        <v>759</v>
      </c>
      <c r="D308" s="37">
        <v>9.3299999999999994E-2</v>
      </c>
      <c r="E308" s="31">
        <v>21.973499999999998</v>
      </c>
      <c r="F308" s="34">
        <f t="shared" si="4"/>
        <v>2.0501275499999996</v>
      </c>
      <c r="G308" s="45"/>
      <c r="H308" s="46"/>
      <c r="I308" s="157">
        <v>0</v>
      </c>
    </row>
    <row r="309" spans="1:9" ht="15.75" hidden="1" thickBot="1" x14ac:dyDescent="0.3">
      <c r="A309" s="241"/>
      <c r="B309" s="55" t="s">
        <v>572</v>
      </c>
      <c r="C309" s="55"/>
      <c r="D309" s="96"/>
      <c r="E309" s="67" t="s">
        <v>572</v>
      </c>
      <c r="F309" s="68" t="str">
        <f t="shared" si="4"/>
        <v/>
      </c>
      <c r="G309" s="69"/>
      <c r="H309" s="31"/>
      <c r="I309" s="157">
        <v>0</v>
      </c>
    </row>
    <row r="310" spans="1:9" ht="15.75" hidden="1" thickBot="1" x14ac:dyDescent="0.3">
      <c r="A310" s="240" t="s">
        <v>1229</v>
      </c>
      <c r="B310" s="41" t="s">
        <v>572</v>
      </c>
      <c r="C310" s="26" t="s">
        <v>124</v>
      </c>
      <c r="D310" s="94"/>
      <c r="E310" s="42" t="s">
        <v>572</v>
      </c>
      <c r="F310" s="42" t="str">
        <f t="shared" si="4"/>
        <v/>
      </c>
      <c r="G310" s="29"/>
      <c r="H310" s="30"/>
      <c r="I310" s="157">
        <v>0</v>
      </c>
    </row>
    <row r="311" spans="1:9" ht="15.75" hidden="1" thickBot="1" x14ac:dyDescent="0.3">
      <c r="A311" s="239"/>
      <c r="B311" s="32" t="s">
        <v>572</v>
      </c>
      <c r="C311" s="32"/>
      <c r="D311" s="92"/>
      <c r="E311" s="43" t="s">
        <v>572</v>
      </c>
      <c r="F311" s="31" t="str">
        <f t="shared" si="4"/>
        <v/>
      </c>
      <c r="G311" s="35"/>
      <c r="H311" s="31"/>
      <c r="I311" s="157">
        <v>0</v>
      </c>
    </row>
    <row r="312" spans="1:9" ht="26.25" hidden="1" thickBot="1" x14ac:dyDescent="0.3">
      <c r="A312" s="239"/>
      <c r="B312" s="36" t="s">
        <v>809</v>
      </c>
      <c r="C312" s="36" t="s">
        <v>124</v>
      </c>
      <c r="D312" s="37">
        <v>0.80800000000000005</v>
      </c>
      <c r="E312" s="34">
        <v>90.25</v>
      </c>
      <c r="F312" s="34">
        <f t="shared" si="4"/>
        <v>72.922000000000011</v>
      </c>
      <c r="G312" s="45">
        <f>SUM(F312:F320)</f>
        <v>387.69040241229999</v>
      </c>
      <c r="H312" s="46"/>
      <c r="I312" s="157">
        <v>0</v>
      </c>
    </row>
    <row r="313" spans="1:9" ht="15.75" hidden="1" thickBot="1" x14ac:dyDescent="0.3">
      <c r="A313" s="239"/>
      <c r="B313" s="36" t="s">
        <v>805</v>
      </c>
      <c r="C313" s="36" t="s">
        <v>957</v>
      </c>
      <c r="D313" s="37">
        <v>274.06</v>
      </c>
      <c r="E313" s="34">
        <v>0.47499999999999998</v>
      </c>
      <c r="F313" s="34">
        <f t="shared" si="4"/>
        <v>130.17849999999999</v>
      </c>
      <c r="G313" s="45"/>
      <c r="H313" s="46"/>
      <c r="I313" s="157">
        <v>0</v>
      </c>
    </row>
    <row r="314" spans="1:9" ht="26.25" hidden="1" thickBot="1" x14ac:dyDescent="0.3">
      <c r="A314" s="239"/>
      <c r="B314" s="36" t="s">
        <v>817</v>
      </c>
      <c r="C314" s="36" t="s">
        <v>124</v>
      </c>
      <c r="D314" s="37">
        <v>0.58099999999999996</v>
      </c>
      <c r="E314" s="34">
        <v>117.63849999999999</v>
      </c>
      <c r="F314" s="34">
        <f t="shared" si="4"/>
        <v>68.347968499999993</v>
      </c>
      <c r="G314" s="45"/>
      <c r="H314" s="46"/>
      <c r="I314" s="157">
        <v>0</v>
      </c>
    </row>
    <row r="315" spans="1:9" ht="15.75" hidden="1" thickBot="1" x14ac:dyDescent="0.3">
      <c r="A315" s="239"/>
      <c r="B315" s="36" t="s">
        <v>760</v>
      </c>
      <c r="C315" s="36" t="s">
        <v>759</v>
      </c>
      <c r="D315" s="37">
        <v>2.0299999999999998</v>
      </c>
      <c r="E315" s="31">
        <v>16.311500000000002</v>
      </c>
      <c r="F315" s="34">
        <f t="shared" si="4"/>
        <v>33.112345000000005</v>
      </c>
      <c r="G315" s="45"/>
      <c r="H315" s="46"/>
      <c r="I315" s="157">
        <v>0</v>
      </c>
    </row>
    <row r="316" spans="1:9" ht="26.25" hidden="1" thickBot="1" x14ac:dyDescent="0.3">
      <c r="A316" s="239"/>
      <c r="B316" s="36" t="s">
        <v>1538</v>
      </c>
      <c r="C316" s="36" t="s">
        <v>759</v>
      </c>
      <c r="D316" s="37">
        <v>1.28</v>
      </c>
      <c r="E316" s="31">
        <v>16.5015</v>
      </c>
      <c r="F316" s="95">
        <f t="shared" si="4"/>
        <v>21.121919999999999</v>
      </c>
      <c r="G316" s="45"/>
      <c r="H316" s="46"/>
      <c r="I316" s="157">
        <v>0</v>
      </c>
    </row>
    <row r="317" spans="1:9" ht="39" hidden="1" thickBot="1" x14ac:dyDescent="0.3">
      <c r="A317" s="239"/>
      <c r="B317" s="36" t="s">
        <v>1458</v>
      </c>
      <c r="C317" s="36" t="s">
        <v>1001</v>
      </c>
      <c r="D317" s="37">
        <v>0.66</v>
      </c>
      <c r="E317" s="31">
        <v>3.4484999999999997</v>
      </c>
      <c r="F317" s="95">
        <f t="shared" si="4"/>
        <v>2.2760099999999999</v>
      </c>
      <c r="G317" s="45"/>
      <c r="H317" s="46"/>
      <c r="I317" s="157">
        <v>0</v>
      </c>
    </row>
    <row r="318" spans="1:9" ht="39" hidden="1" thickBot="1" x14ac:dyDescent="0.3">
      <c r="A318" s="239"/>
      <c r="B318" s="36" t="s">
        <v>1539</v>
      </c>
      <c r="C318" s="47" t="s">
        <v>1003</v>
      </c>
      <c r="D318" s="37">
        <v>0.62</v>
      </c>
      <c r="E318" s="31">
        <v>1.1019999999999999</v>
      </c>
      <c r="F318" s="34">
        <f t="shared" si="4"/>
        <v>0.68323999999999996</v>
      </c>
      <c r="G318" s="45"/>
      <c r="H318" s="46"/>
      <c r="I318" s="157">
        <v>0</v>
      </c>
    </row>
    <row r="319" spans="1:9" ht="51.75" hidden="1" thickBot="1" x14ac:dyDescent="0.3">
      <c r="A319" s="239"/>
      <c r="B319" s="36" t="s">
        <v>3619</v>
      </c>
      <c r="C319" s="36" t="s">
        <v>124</v>
      </c>
      <c r="D319" s="37">
        <f>ROUND(1*(D312+D314),4)</f>
        <v>1.389</v>
      </c>
      <c r="E319" s="31">
        <v>5.6237587000000007</v>
      </c>
      <c r="F319" s="34">
        <f t="shared" si="4"/>
        <v>7.8114008343000014</v>
      </c>
      <c r="G319" s="45"/>
      <c r="H319" s="46"/>
      <c r="I319" s="157">
        <v>0</v>
      </c>
    </row>
    <row r="320" spans="1:9" ht="39" hidden="1" thickBot="1" x14ac:dyDescent="0.3">
      <c r="A320" s="239"/>
      <c r="B320" s="36" t="s">
        <v>3616</v>
      </c>
      <c r="C320" s="47" t="s">
        <v>126</v>
      </c>
      <c r="D320" s="37">
        <f>ROUND((D312+D314)*20,4)</f>
        <v>27.78</v>
      </c>
      <c r="E320" s="31">
        <v>1.8443850999999998</v>
      </c>
      <c r="F320" s="34">
        <f t="shared" si="4"/>
        <v>51.237018077999998</v>
      </c>
      <c r="G320" s="45"/>
      <c r="H320" s="46"/>
      <c r="I320" s="157">
        <v>0</v>
      </c>
    </row>
    <row r="321" spans="1:9" ht="15.75" hidden="1" thickBot="1" x14ac:dyDescent="0.3">
      <c r="A321" s="239"/>
      <c r="B321" s="51"/>
      <c r="C321" s="47"/>
      <c r="D321" s="37"/>
      <c r="E321" s="31" t="s">
        <v>572</v>
      </c>
      <c r="F321" s="34" t="str">
        <f t="shared" si="4"/>
        <v/>
      </c>
      <c r="G321" s="45"/>
      <c r="H321" s="46"/>
      <c r="I321" s="157">
        <v>0</v>
      </c>
    </row>
    <row r="322" spans="1:9" ht="26.25" hidden="1" thickBot="1" x14ac:dyDescent="0.3">
      <c r="A322" s="239"/>
      <c r="B322" s="48" t="s">
        <v>127</v>
      </c>
      <c r="C322" s="47"/>
      <c r="D322" s="37"/>
      <c r="E322" s="31" t="s">
        <v>572</v>
      </c>
      <c r="F322" s="34" t="str">
        <f t="shared" si="4"/>
        <v/>
      </c>
      <c r="G322" s="45"/>
      <c r="H322" s="46"/>
      <c r="I322" s="157">
        <v>0</v>
      </c>
    </row>
    <row r="323" spans="1:9" ht="15.75" hidden="1" thickBot="1" x14ac:dyDescent="0.3">
      <c r="A323" s="239"/>
      <c r="B323" s="36" t="s">
        <v>572</v>
      </c>
      <c r="C323" s="36"/>
      <c r="D323" s="93"/>
      <c r="E323" s="31" t="s">
        <v>572</v>
      </c>
      <c r="F323" s="31" t="str">
        <f t="shared" si="4"/>
        <v/>
      </c>
      <c r="G323" s="35"/>
      <c r="H323" s="31"/>
      <c r="I323" s="157">
        <v>0</v>
      </c>
    </row>
    <row r="324" spans="1:9" ht="15.75" hidden="1" thickBot="1" x14ac:dyDescent="0.3">
      <c r="A324" s="240" t="s">
        <v>1131</v>
      </c>
      <c r="B324" s="41" t="s">
        <v>572</v>
      </c>
      <c r="C324" s="26" t="s">
        <v>124</v>
      </c>
      <c r="D324" s="94"/>
      <c r="E324" s="42" t="s">
        <v>572</v>
      </c>
      <c r="F324" s="42" t="str">
        <f t="shared" si="4"/>
        <v/>
      </c>
      <c r="G324" s="29"/>
      <c r="H324" s="30"/>
      <c r="I324" s="157">
        <v>0</v>
      </c>
    </row>
    <row r="325" spans="1:9" ht="15.75" hidden="1" thickBot="1" x14ac:dyDescent="0.3">
      <c r="A325" s="239"/>
      <c r="B325" s="32" t="s">
        <v>572</v>
      </c>
      <c r="C325" s="32"/>
      <c r="D325" s="92"/>
      <c r="E325" s="43" t="s">
        <v>572</v>
      </c>
      <c r="F325" s="31" t="str">
        <f t="shared" si="4"/>
        <v/>
      </c>
      <c r="G325" s="35"/>
      <c r="H325" s="31"/>
      <c r="I325" s="157">
        <v>0</v>
      </c>
    </row>
    <row r="326" spans="1:9" ht="26.25" hidden="1" thickBot="1" x14ac:dyDescent="0.3">
      <c r="A326" s="239"/>
      <c r="B326" s="36" t="s">
        <v>809</v>
      </c>
      <c r="C326" s="36" t="s">
        <v>124</v>
      </c>
      <c r="D326" s="37">
        <v>0.83199999999999996</v>
      </c>
      <c r="E326" s="34">
        <v>90.25</v>
      </c>
      <c r="F326" s="34">
        <f t="shared" ref="F326:F389" si="5">IF(ISNUMBER(E326),E326*$D326,"")</f>
        <v>75.087999999999994</v>
      </c>
      <c r="G326" s="45">
        <f>SUM(F326:F334)</f>
        <v>364.51358742979994</v>
      </c>
      <c r="H326" s="46"/>
      <c r="I326" s="157">
        <v>0</v>
      </c>
    </row>
    <row r="327" spans="1:9" ht="15.75" hidden="1" thickBot="1" x14ac:dyDescent="0.3">
      <c r="A327" s="239"/>
      <c r="B327" s="36" t="s">
        <v>805</v>
      </c>
      <c r="C327" s="36" t="s">
        <v>957</v>
      </c>
      <c r="D327" s="37">
        <v>213.45</v>
      </c>
      <c r="E327" s="34">
        <v>0.47499999999999998</v>
      </c>
      <c r="F327" s="34">
        <f t="shared" si="5"/>
        <v>101.38874999999999</v>
      </c>
      <c r="G327" s="45"/>
      <c r="H327" s="46"/>
      <c r="I327" s="157">
        <v>0</v>
      </c>
    </row>
    <row r="328" spans="1:9" ht="26.25" hidden="1" thickBot="1" x14ac:dyDescent="0.3">
      <c r="A328" s="239"/>
      <c r="B328" s="36" t="s">
        <v>817</v>
      </c>
      <c r="C328" s="36" t="s">
        <v>124</v>
      </c>
      <c r="D328" s="37">
        <v>0.58199999999999996</v>
      </c>
      <c r="E328" s="34">
        <v>117.63849999999999</v>
      </c>
      <c r="F328" s="34">
        <f t="shared" si="5"/>
        <v>68.465606999999991</v>
      </c>
      <c r="G328" s="45"/>
      <c r="H328" s="46"/>
      <c r="I328" s="157">
        <v>0</v>
      </c>
    </row>
    <row r="329" spans="1:9" ht="15.75" hidden="1" thickBot="1" x14ac:dyDescent="0.3">
      <c r="A329" s="239"/>
      <c r="B329" s="36" t="s">
        <v>760</v>
      </c>
      <c r="C329" s="36" t="s">
        <v>759</v>
      </c>
      <c r="D329" s="37">
        <v>2.11</v>
      </c>
      <c r="E329" s="31">
        <v>16.311500000000002</v>
      </c>
      <c r="F329" s="34">
        <f t="shared" si="5"/>
        <v>34.417265</v>
      </c>
      <c r="G329" s="45"/>
      <c r="H329" s="46"/>
      <c r="I329" s="157">
        <v>0</v>
      </c>
    </row>
    <row r="330" spans="1:9" ht="26.25" hidden="1" thickBot="1" x14ac:dyDescent="0.3">
      <c r="A330" s="239"/>
      <c r="B330" s="36" t="s">
        <v>1538</v>
      </c>
      <c r="C330" s="36" t="s">
        <v>759</v>
      </c>
      <c r="D330" s="37">
        <v>1.33</v>
      </c>
      <c r="E330" s="31">
        <v>16.5015</v>
      </c>
      <c r="F330" s="95">
        <f t="shared" si="5"/>
        <v>21.946995000000001</v>
      </c>
      <c r="G330" s="45"/>
      <c r="H330" s="46"/>
      <c r="I330" s="157">
        <v>0</v>
      </c>
    </row>
    <row r="331" spans="1:9" ht="39" hidden="1" thickBot="1" x14ac:dyDescent="0.3">
      <c r="A331" s="239"/>
      <c r="B331" s="36" t="s">
        <v>1458</v>
      </c>
      <c r="C331" s="36" t="s">
        <v>1001</v>
      </c>
      <c r="D331" s="34">
        <v>0.69</v>
      </c>
      <c r="E331" s="31">
        <v>3.4484999999999997</v>
      </c>
      <c r="F331" s="95">
        <f t="shared" si="5"/>
        <v>2.3794649999999997</v>
      </c>
      <c r="G331" s="45"/>
      <c r="H331" s="46"/>
      <c r="I331" s="157">
        <v>0</v>
      </c>
    </row>
    <row r="332" spans="1:9" ht="39" hidden="1" thickBot="1" x14ac:dyDescent="0.3">
      <c r="A332" s="239"/>
      <c r="B332" s="36" t="s">
        <v>1539</v>
      </c>
      <c r="C332" s="47" t="s">
        <v>1003</v>
      </c>
      <c r="D332" s="37">
        <v>0.65</v>
      </c>
      <c r="E332" s="31">
        <v>1.1019999999999999</v>
      </c>
      <c r="F332" s="34">
        <f t="shared" si="5"/>
        <v>0.71629999999999994</v>
      </c>
      <c r="G332" s="45"/>
      <c r="H332" s="46"/>
      <c r="I332" s="157">
        <v>0</v>
      </c>
    </row>
    <row r="333" spans="1:9" ht="51.75" hidden="1" thickBot="1" x14ac:dyDescent="0.3">
      <c r="A333" s="239"/>
      <c r="B333" s="36" t="s">
        <v>3619</v>
      </c>
      <c r="C333" s="36" t="s">
        <v>124</v>
      </c>
      <c r="D333" s="37">
        <f>ROUND(1*(D326+D328),4)</f>
        <v>1.4139999999999999</v>
      </c>
      <c r="E333" s="31">
        <v>5.6237587000000007</v>
      </c>
      <c r="F333" s="34">
        <f t="shared" si="5"/>
        <v>7.9519948018000006</v>
      </c>
      <c r="G333" s="45"/>
      <c r="H333" s="46"/>
      <c r="I333" s="157">
        <v>0</v>
      </c>
    </row>
    <row r="334" spans="1:9" ht="39" hidden="1" thickBot="1" x14ac:dyDescent="0.3">
      <c r="A334" s="239"/>
      <c r="B334" s="36" t="s">
        <v>3616</v>
      </c>
      <c r="C334" s="47" t="s">
        <v>126</v>
      </c>
      <c r="D334" s="37">
        <f>ROUND((D326+D328)*20,4)</f>
        <v>28.28</v>
      </c>
      <c r="E334" s="31">
        <v>1.8443850999999998</v>
      </c>
      <c r="F334" s="34">
        <f t="shared" si="5"/>
        <v>52.159210627999997</v>
      </c>
      <c r="G334" s="45"/>
      <c r="H334" s="46"/>
      <c r="I334" s="157">
        <v>0</v>
      </c>
    </row>
    <row r="335" spans="1:9" ht="15.75" hidden="1" thickBot="1" x14ac:dyDescent="0.3">
      <c r="A335" s="239"/>
      <c r="B335" s="51"/>
      <c r="C335" s="47"/>
      <c r="D335" s="37"/>
      <c r="E335" s="31" t="s">
        <v>572</v>
      </c>
      <c r="F335" s="34" t="str">
        <f t="shared" si="5"/>
        <v/>
      </c>
      <c r="G335" s="45"/>
      <c r="H335" s="46"/>
      <c r="I335" s="157">
        <v>0</v>
      </c>
    </row>
    <row r="336" spans="1:9" ht="26.25" hidden="1" thickBot="1" x14ac:dyDescent="0.3">
      <c r="A336" s="239"/>
      <c r="B336" s="48" t="s">
        <v>127</v>
      </c>
      <c r="C336" s="47"/>
      <c r="D336" s="37"/>
      <c r="E336" s="31" t="s">
        <v>572</v>
      </c>
      <c r="F336" s="34" t="str">
        <f t="shared" si="5"/>
        <v/>
      </c>
      <c r="G336" s="45"/>
      <c r="H336" s="46"/>
      <c r="I336" s="157">
        <v>0</v>
      </c>
    </row>
    <row r="337" spans="1:9" ht="15.75" hidden="1" thickBot="1" x14ac:dyDescent="0.3">
      <c r="A337" s="239"/>
      <c r="B337" s="36" t="s">
        <v>572</v>
      </c>
      <c r="C337" s="36"/>
      <c r="D337" s="93"/>
      <c r="E337" s="31" t="s">
        <v>572</v>
      </c>
      <c r="F337" s="31" t="str">
        <f t="shared" si="5"/>
        <v/>
      </c>
      <c r="G337" s="35"/>
      <c r="H337" s="31"/>
      <c r="I337" s="157">
        <v>0</v>
      </c>
    </row>
    <row r="338" spans="1:9" ht="15.75" hidden="1" thickBot="1" x14ac:dyDescent="0.3">
      <c r="A338" s="240" t="s">
        <v>1063</v>
      </c>
      <c r="B338" s="41" t="s">
        <v>572</v>
      </c>
      <c r="C338" s="26" t="s">
        <v>124</v>
      </c>
      <c r="D338" s="94"/>
      <c r="E338" s="28" t="s">
        <v>572</v>
      </c>
      <c r="F338" s="28" t="str">
        <f t="shared" si="5"/>
        <v/>
      </c>
      <c r="G338" s="29"/>
      <c r="H338" s="30"/>
      <c r="I338" s="157">
        <v>0</v>
      </c>
    </row>
    <row r="339" spans="1:9" ht="15.75" hidden="1" thickBot="1" x14ac:dyDescent="0.3">
      <c r="A339" s="239"/>
      <c r="B339" s="32" t="s">
        <v>572</v>
      </c>
      <c r="C339" s="32"/>
      <c r="D339" s="92"/>
      <c r="E339" s="31" t="s">
        <v>572</v>
      </c>
      <c r="F339" s="31" t="str">
        <f t="shared" si="5"/>
        <v/>
      </c>
      <c r="G339" s="35"/>
      <c r="H339" s="31"/>
      <c r="I339" s="157">
        <v>0</v>
      </c>
    </row>
    <row r="340" spans="1:9" ht="26.25" hidden="1" thickBot="1" x14ac:dyDescent="0.3">
      <c r="A340" s="239"/>
      <c r="B340" s="36" t="s">
        <v>1372</v>
      </c>
      <c r="C340" s="36" t="s">
        <v>124</v>
      </c>
      <c r="D340" s="37">
        <v>1.02</v>
      </c>
      <c r="E340" s="31">
        <v>112.63199999999999</v>
      </c>
      <c r="F340" s="34">
        <f t="shared" si="5"/>
        <v>114.88463999999999</v>
      </c>
      <c r="G340" s="45">
        <f>SUM(F340:F346)</f>
        <v>400.23526991400001</v>
      </c>
      <c r="H340" s="46"/>
      <c r="I340" s="157">
        <v>0</v>
      </c>
    </row>
    <row r="341" spans="1:9" ht="15.75" hidden="1" thickBot="1" x14ac:dyDescent="0.3">
      <c r="A341" s="239"/>
      <c r="B341" s="36" t="s">
        <v>805</v>
      </c>
      <c r="C341" s="36" t="s">
        <v>957</v>
      </c>
      <c r="D341" s="37">
        <v>343.52</v>
      </c>
      <c r="E341" s="34">
        <v>0.47499999999999998</v>
      </c>
      <c r="F341" s="34">
        <f t="shared" si="5"/>
        <v>163.172</v>
      </c>
      <c r="G341" s="45"/>
      <c r="H341" s="46"/>
      <c r="I341" s="157">
        <v>0</v>
      </c>
    </row>
    <row r="342" spans="1:9" ht="26.25" hidden="1" thickBot="1" x14ac:dyDescent="0.3">
      <c r="A342" s="239"/>
      <c r="B342" s="36" t="s">
        <v>1538</v>
      </c>
      <c r="C342" s="36" t="s">
        <v>759</v>
      </c>
      <c r="D342" s="37">
        <v>4.6399999999999997</v>
      </c>
      <c r="E342" s="31">
        <v>16.5015</v>
      </c>
      <c r="F342" s="34">
        <f t="shared" si="5"/>
        <v>76.566959999999995</v>
      </c>
      <c r="G342" s="45"/>
      <c r="H342" s="46"/>
      <c r="I342" s="157">
        <v>0</v>
      </c>
    </row>
    <row r="343" spans="1:9" ht="39" hidden="1" thickBot="1" x14ac:dyDescent="0.3">
      <c r="A343" s="239"/>
      <c r="B343" s="36" t="s">
        <v>121</v>
      </c>
      <c r="C343" s="36" t="s">
        <v>1001</v>
      </c>
      <c r="D343" s="37">
        <v>1.08</v>
      </c>
      <c r="E343" s="31">
        <v>1.2064999999999999</v>
      </c>
      <c r="F343" s="34">
        <f t="shared" si="5"/>
        <v>1.3030200000000001</v>
      </c>
      <c r="G343" s="45"/>
      <c r="H343" s="46"/>
      <c r="I343" s="157">
        <v>0</v>
      </c>
    </row>
    <row r="344" spans="1:9" ht="39" hidden="1" thickBot="1" x14ac:dyDescent="0.3">
      <c r="A344" s="239"/>
      <c r="B344" s="36" t="s">
        <v>122</v>
      </c>
      <c r="C344" s="36" t="s">
        <v>1003</v>
      </c>
      <c r="D344" s="37">
        <v>3.56</v>
      </c>
      <c r="E344" s="31">
        <v>0.26600000000000001</v>
      </c>
      <c r="F344" s="34">
        <f t="shared" si="5"/>
        <v>0.94696000000000002</v>
      </c>
      <c r="G344" s="45"/>
      <c r="H344" s="46"/>
      <c r="I344" s="157">
        <v>0</v>
      </c>
    </row>
    <row r="345" spans="1:9" ht="51.75" hidden="1" thickBot="1" x14ac:dyDescent="0.3">
      <c r="A345" s="239"/>
      <c r="B345" s="36" t="s">
        <v>3619</v>
      </c>
      <c r="C345" s="36" t="s">
        <v>124</v>
      </c>
      <c r="D345" s="37">
        <f>ROUND(1*(D340),4)</f>
        <v>1.02</v>
      </c>
      <c r="E345" s="31">
        <v>5.6237587000000007</v>
      </c>
      <c r="F345" s="34">
        <f t="shared" si="5"/>
        <v>5.7362338740000007</v>
      </c>
      <c r="G345" s="45"/>
      <c r="H345" s="46"/>
      <c r="I345" s="157">
        <v>0</v>
      </c>
    </row>
    <row r="346" spans="1:9" ht="39" hidden="1" thickBot="1" x14ac:dyDescent="0.3">
      <c r="A346" s="239"/>
      <c r="B346" s="36" t="s">
        <v>3616</v>
      </c>
      <c r="C346" s="47" t="s">
        <v>126</v>
      </c>
      <c r="D346" s="37">
        <f>ROUND(D340*20,4)</f>
        <v>20.399999999999999</v>
      </c>
      <c r="E346" s="31">
        <v>1.8443850999999998</v>
      </c>
      <c r="F346" s="34">
        <f t="shared" si="5"/>
        <v>37.625456039999996</v>
      </c>
      <c r="G346" s="45"/>
      <c r="H346" s="46"/>
      <c r="I346" s="157">
        <v>0</v>
      </c>
    </row>
    <row r="347" spans="1:9" ht="15.75" hidden="1" thickBot="1" x14ac:dyDescent="0.3">
      <c r="A347" s="239"/>
      <c r="B347" s="36"/>
      <c r="C347" s="36"/>
      <c r="D347" s="37"/>
      <c r="E347" s="31" t="s">
        <v>572</v>
      </c>
      <c r="F347" s="34" t="str">
        <f t="shared" si="5"/>
        <v/>
      </c>
      <c r="G347" s="45"/>
      <c r="H347" s="46"/>
      <c r="I347" s="157">
        <v>0</v>
      </c>
    </row>
    <row r="348" spans="1:9" ht="24.95" hidden="1" customHeight="1" x14ac:dyDescent="0.3">
      <c r="A348" s="239"/>
      <c r="B348" s="48" t="s">
        <v>812</v>
      </c>
      <c r="C348" s="47"/>
      <c r="D348" s="37"/>
      <c r="E348" s="31" t="s">
        <v>572</v>
      </c>
      <c r="F348" s="34" t="str">
        <f t="shared" si="5"/>
        <v/>
      </c>
      <c r="G348" s="45"/>
      <c r="H348" s="46"/>
      <c r="I348" s="157">
        <v>0</v>
      </c>
    </row>
    <row r="349" spans="1:9" ht="15.75" hidden="1" thickBot="1" x14ac:dyDescent="0.3">
      <c r="A349" s="241"/>
      <c r="B349" s="55" t="s">
        <v>572</v>
      </c>
      <c r="C349" s="55"/>
      <c r="D349" s="96"/>
      <c r="E349" s="67" t="s">
        <v>572</v>
      </c>
      <c r="F349" s="68" t="str">
        <f t="shared" si="5"/>
        <v/>
      </c>
      <c r="G349" s="69"/>
      <c r="H349" s="31"/>
      <c r="I349" s="157">
        <v>0</v>
      </c>
    </row>
    <row r="350" spans="1:9" ht="15.75" hidden="1" thickBot="1" x14ac:dyDescent="0.3">
      <c r="A350" s="240" t="s">
        <v>3619</v>
      </c>
      <c r="B350" s="41" t="s">
        <v>572</v>
      </c>
      <c r="C350" s="26" t="s">
        <v>124</v>
      </c>
      <c r="D350" s="94"/>
      <c r="E350" s="28" t="s">
        <v>572</v>
      </c>
      <c r="F350" s="26" t="str">
        <f t="shared" si="5"/>
        <v/>
      </c>
      <c r="G350" s="29"/>
      <c r="H350" s="30"/>
      <c r="I350" s="157">
        <v>0</v>
      </c>
    </row>
    <row r="351" spans="1:9" ht="15.75" hidden="1" thickBot="1" x14ac:dyDescent="0.3">
      <c r="A351" s="239"/>
      <c r="B351" s="32" t="s">
        <v>572</v>
      </c>
      <c r="C351" s="32"/>
      <c r="D351" s="92"/>
      <c r="E351" s="31" t="s">
        <v>572</v>
      </c>
      <c r="F351" s="31" t="str">
        <f t="shared" si="5"/>
        <v/>
      </c>
      <c r="G351" s="35"/>
      <c r="H351" s="31"/>
      <c r="I351" s="157">
        <v>0</v>
      </c>
    </row>
    <row r="352" spans="1:9" ht="39" hidden="1" thickBot="1" x14ac:dyDescent="0.3">
      <c r="A352" s="239"/>
      <c r="B352" s="36" t="s">
        <v>3420</v>
      </c>
      <c r="C352" s="36" t="s">
        <v>1001</v>
      </c>
      <c r="D352" s="37">
        <v>8.3000000000000001E-3</v>
      </c>
      <c r="E352" s="31">
        <v>126.34050000000001</v>
      </c>
      <c r="F352" s="34">
        <f t="shared" si="5"/>
        <v>1.04862615</v>
      </c>
      <c r="G352" s="45">
        <f>SUM(F352:F355)</f>
        <v>5.568642549999999</v>
      </c>
      <c r="H352" s="46"/>
      <c r="I352" s="157">
        <v>0</v>
      </c>
    </row>
    <row r="353" spans="1:9" ht="39" hidden="1" thickBot="1" x14ac:dyDescent="0.3">
      <c r="A353" s="239"/>
      <c r="B353" s="36" t="s">
        <v>3425</v>
      </c>
      <c r="C353" s="47" t="s">
        <v>1003</v>
      </c>
      <c r="D353" s="37">
        <v>1.5100000000000001E-2</v>
      </c>
      <c r="E353" s="31">
        <v>44.184499999999993</v>
      </c>
      <c r="F353" s="34">
        <f t="shared" si="5"/>
        <v>0.66718594999999992</v>
      </c>
      <c r="G353" s="45"/>
      <c r="H353" s="46"/>
      <c r="I353" s="157">
        <v>0</v>
      </c>
    </row>
    <row r="354" spans="1:9" ht="51.75" hidden="1" thickBot="1" x14ac:dyDescent="0.3">
      <c r="A354" s="239"/>
      <c r="B354" s="36" t="s">
        <v>1138</v>
      </c>
      <c r="C354" s="47" t="s">
        <v>1001</v>
      </c>
      <c r="D354" s="37">
        <v>2.6700000000000002E-2</v>
      </c>
      <c r="E354" s="31">
        <v>117.43899999999999</v>
      </c>
      <c r="F354" s="34">
        <f t="shared" si="5"/>
        <v>3.1356212999999999</v>
      </c>
      <c r="G354" s="45"/>
      <c r="H354" s="46"/>
      <c r="I354" s="157">
        <v>0</v>
      </c>
    </row>
    <row r="355" spans="1:9" ht="51.75" hidden="1" thickBot="1" x14ac:dyDescent="0.3">
      <c r="A355" s="239"/>
      <c r="B355" s="36" t="s">
        <v>1139</v>
      </c>
      <c r="C355" s="47" t="s">
        <v>1003</v>
      </c>
      <c r="D355" s="37">
        <v>2.0299999999999999E-2</v>
      </c>
      <c r="E355" s="31">
        <v>35.330499999999994</v>
      </c>
      <c r="F355" s="34">
        <f t="shared" si="5"/>
        <v>0.71720914999999985</v>
      </c>
      <c r="G355" s="45"/>
      <c r="H355" s="46"/>
      <c r="I355" s="157">
        <v>0</v>
      </c>
    </row>
    <row r="356" spans="1:9" ht="15.75" hidden="1" thickBot="1" x14ac:dyDescent="0.3">
      <c r="A356" s="241"/>
      <c r="B356" s="55" t="s">
        <v>572</v>
      </c>
      <c r="C356" s="55"/>
      <c r="D356" s="96"/>
      <c r="E356" s="67" t="s">
        <v>572</v>
      </c>
      <c r="F356" s="68" t="str">
        <f t="shared" si="5"/>
        <v/>
      </c>
      <c r="G356" s="69"/>
      <c r="H356" s="31"/>
      <c r="I356" s="157">
        <v>0</v>
      </c>
    </row>
    <row r="357" spans="1:9" ht="15.75" hidden="1" thickBot="1" x14ac:dyDescent="0.3">
      <c r="A357" s="240" t="s">
        <v>123</v>
      </c>
      <c r="B357" s="41" t="s">
        <v>572</v>
      </c>
      <c r="C357" s="26" t="s">
        <v>1374</v>
      </c>
      <c r="D357" s="94"/>
      <c r="E357" s="28" t="s">
        <v>572</v>
      </c>
      <c r="F357" s="26" t="str">
        <f t="shared" si="5"/>
        <v/>
      </c>
      <c r="G357" s="29"/>
      <c r="H357" s="30"/>
      <c r="I357" s="157">
        <v>0</v>
      </c>
    </row>
    <row r="358" spans="1:9" ht="15.75" hidden="1" thickBot="1" x14ac:dyDescent="0.3">
      <c r="A358" s="239"/>
      <c r="B358" s="32" t="s">
        <v>572</v>
      </c>
      <c r="C358" s="32"/>
      <c r="D358" s="92"/>
      <c r="E358" s="31" t="s">
        <v>572</v>
      </c>
      <c r="F358" s="31" t="str">
        <f t="shared" si="5"/>
        <v/>
      </c>
      <c r="G358" s="35"/>
      <c r="H358" s="31"/>
      <c r="I358" s="157">
        <v>0</v>
      </c>
    </row>
    <row r="359" spans="1:9" ht="39" hidden="1" thickBot="1" x14ac:dyDescent="0.3">
      <c r="A359" s="239"/>
      <c r="B359" s="36" t="s">
        <v>3420</v>
      </c>
      <c r="C359" s="36" t="s">
        <v>1001</v>
      </c>
      <c r="D359" s="37">
        <v>5.5599999999999998E-3</v>
      </c>
      <c r="E359" s="31">
        <v>126.34050000000001</v>
      </c>
      <c r="F359" s="34">
        <f t="shared" si="5"/>
        <v>0.70245318000000001</v>
      </c>
      <c r="G359" s="45">
        <f>SUM(F359:F362)</f>
        <v>3.7160925799999998</v>
      </c>
      <c r="H359" s="46"/>
      <c r="I359" s="157">
        <v>0</v>
      </c>
    </row>
    <row r="360" spans="1:9" ht="39" hidden="1" thickBot="1" x14ac:dyDescent="0.3">
      <c r="A360" s="239"/>
      <c r="B360" s="36" t="s">
        <v>3425</v>
      </c>
      <c r="C360" s="47" t="s">
        <v>1003</v>
      </c>
      <c r="D360" s="37">
        <v>1.01E-2</v>
      </c>
      <c r="E360" s="31">
        <v>44.184499999999993</v>
      </c>
      <c r="F360" s="34">
        <f t="shared" si="5"/>
        <v>0.44626344999999989</v>
      </c>
      <c r="G360" s="45"/>
      <c r="H360" s="46"/>
      <c r="I360" s="157">
        <v>0</v>
      </c>
    </row>
    <row r="361" spans="1:9" ht="51.75" hidden="1" thickBot="1" x14ac:dyDescent="0.3">
      <c r="A361" s="239"/>
      <c r="B361" s="36" t="s">
        <v>1138</v>
      </c>
      <c r="C361" s="47" t="s">
        <v>1001</v>
      </c>
      <c r="D361" s="37">
        <v>1.78E-2</v>
      </c>
      <c r="E361" s="31">
        <v>117.43899999999999</v>
      </c>
      <c r="F361" s="34">
        <f t="shared" si="5"/>
        <v>2.0904141999999997</v>
      </c>
      <c r="G361" s="45"/>
      <c r="H361" s="46"/>
      <c r="I361" s="157">
        <v>0</v>
      </c>
    </row>
    <row r="362" spans="1:9" ht="51.75" hidden="1" thickBot="1" x14ac:dyDescent="0.3">
      <c r="A362" s="239"/>
      <c r="B362" s="36" t="s">
        <v>1139</v>
      </c>
      <c r="C362" s="47" t="s">
        <v>1003</v>
      </c>
      <c r="D362" s="37">
        <v>1.35E-2</v>
      </c>
      <c r="E362" s="31">
        <v>35.330499999999994</v>
      </c>
      <c r="F362" s="34">
        <f t="shared" si="5"/>
        <v>0.47696174999999991</v>
      </c>
      <c r="G362" s="45"/>
      <c r="H362" s="46"/>
      <c r="I362" s="157">
        <v>0</v>
      </c>
    </row>
    <row r="363" spans="1:9" ht="15.75" hidden="1" thickBot="1" x14ac:dyDescent="0.3">
      <c r="A363" s="241"/>
      <c r="B363" s="55" t="s">
        <v>572</v>
      </c>
      <c r="C363" s="55"/>
      <c r="D363" s="96"/>
      <c r="E363" s="67" t="s">
        <v>572</v>
      </c>
      <c r="F363" s="68" t="str">
        <f t="shared" si="5"/>
        <v/>
      </c>
      <c r="G363" s="69"/>
      <c r="H363" s="31"/>
      <c r="I363" s="157">
        <v>0</v>
      </c>
    </row>
    <row r="364" spans="1:9" ht="15.75" hidden="1" thickBot="1" x14ac:dyDescent="0.3">
      <c r="A364" s="240" t="s">
        <v>3427</v>
      </c>
      <c r="B364" s="41" t="s">
        <v>572</v>
      </c>
      <c r="C364" s="26" t="s">
        <v>1053</v>
      </c>
      <c r="D364" s="94"/>
      <c r="E364" s="28" t="s">
        <v>572</v>
      </c>
      <c r="F364" s="28" t="str">
        <f t="shared" si="5"/>
        <v/>
      </c>
      <c r="G364" s="29"/>
      <c r="H364" s="30"/>
      <c r="I364" s="157">
        <v>0</v>
      </c>
    </row>
    <row r="365" spans="1:9" ht="15.75" hidden="1" thickBot="1" x14ac:dyDescent="0.3">
      <c r="A365" s="239"/>
      <c r="B365" s="32" t="s">
        <v>572</v>
      </c>
      <c r="C365" s="32"/>
      <c r="D365" s="92"/>
      <c r="E365" s="31" t="s">
        <v>572</v>
      </c>
      <c r="F365" s="31" t="str">
        <f t="shared" si="5"/>
        <v/>
      </c>
      <c r="G365" s="35"/>
      <c r="H365" s="31"/>
      <c r="I365" s="157">
        <v>0</v>
      </c>
    </row>
    <row r="366" spans="1:9" ht="26.25" hidden="1" thickBot="1" x14ac:dyDescent="0.3">
      <c r="A366" s="239"/>
      <c r="B366" s="36" t="s">
        <v>1222</v>
      </c>
      <c r="C366" s="36" t="s">
        <v>105</v>
      </c>
      <c r="D366" s="37">
        <v>1.7000000000000001E-2</v>
      </c>
      <c r="E366" s="31">
        <v>5.6144999999999996</v>
      </c>
      <c r="F366" s="34">
        <f t="shared" si="5"/>
        <v>9.5446500000000004E-2</v>
      </c>
      <c r="G366" s="45">
        <f>SUM(F366:F370)</f>
        <v>158.49843595499999</v>
      </c>
      <c r="H366" s="46"/>
      <c r="I366" s="157">
        <v>0</v>
      </c>
    </row>
    <row r="367" spans="1:9" ht="15.75" hidden="1" thickBot="1" x14ac:dyDescent="0.3">
      <c r="A367" s="239"/>
      <c r="B367" s="36" t="s">
        <v>3469</v>
      </c>
      <c r="C367" s="36" t="s">
        <v>957</v>
      </c>
      <c r="D367" s="37">
        <v>2.7E-2</v>
      </c>
      <c r="E367" s="34">
        <v>21.47</v>
      </c>
      <c r="F367" s="34">
        <f t="shared" si="5"/>
        <v>0.57968999999999993</v>
      </c>
      <c r="G367" s="45"/>
      <c r="H367" s="46"/>
      <c r="I367" s="157">
        <v>0</v>
      </c>
    </row>
    <row r="368" spans="1:9" ht="15.75" hidden="1" thickBot="1" x14ac:dyDescent="0.3">
      <c r="A368" s="239"/>
      <c r="B368" s="36" t="s">
        <v>843</v>
      </c>
      <c r="C368" s="36" t="s">
        <v>759</v>
      </c>
      <c r="D368" s="37">
        <v>0.48899999999999999</v>
      </c>
      <c r="E368" s="31">
        <v>18.468</v>
      </c>
      <c r="F368" s="34">
        <f t="shared" si="5"/>
        <v>9.0308519999999994</v>
      </c>
      <c r="G368" s="45"/>
      <c r="H368" s="46"/>
      <c r="I368" s="157">
        <v>0</v>
      </c>
    </row>
    <row r="369" spans="1:9" ht="15.75" hidden="1" thickBot="1" x14ac:dyDescent="0.3">
      <c r="A369" s="239"/>
      <c r="B369" s="36" t="s">
        <v>1054</v>
      </c>
      <c r="C369" s="36" t="s">
        <v>759</v>
      </c>
      <c r="D369" s="37">
        <v>2.6680000000000001</v>
      </c>
      <c r="E369" s="31">
        <v>21.878499999999999</v>
      </c>
      <c r="F369" s="34">
        <f t="shared" si="5"/>
        <v>58.371838000000004</v>
      </c>
      <c r="G369" s="45"/>
      <c r="H369" s="46"/>
      <c r="I369" s="157">
        <v>0</v>
      </c>
    </row>
    <row r="370" spans="1:9" ht="26.25" hidden="1" thickBot="1" x14ac:dyDescent="0.3">
      <c r="A370" s="239"/>
      <c r="B370" s="36" t="s">
        <v>3426</v>
      </c>
      <c r="C370" s="36" t="s">
        <v>1053</v>
      </c>
      <c r="D370" s="37">
        <v>0.53</v>
      </c>
      <c r="E370" s="31">
        <v>170.60492349999998</v>
      </c>
      <c r="F370" s="34">
        <f t="shared" si="5"/>
        <v>90.42060945499999</v>
      </c>
      <c r="G370" s="45"/>
      <c r="H370" s="46"/>
      <c r="I370" s="157">
        <v>0</v>
      </c>
    </row>
    <row r="371" spans="1:9" ht="15.75" hidden="1" thickBot="1" x14ac:dyDescent="0.3">
      <c r="A371" s="241"/>
      <c r="B371" s="55" t="s">
        <v>572</v>
      </c>
      <c r="C371" s="55"/>
      <c r="D371" s="96"/>
      <c r="E371" s="67" t="s">
        <v>572</v>
      </c>
      <c r="F371" s="68" t="str">
        <f t="shared" si="5"/>
        <v/>
      </c>
      <c r="G371" s="69"/>
      <c r="H371" s="31"/>
      <c r="I371" s="157">
        <v>0</v>
      </c>
    </row>
    <row r="372" spans="1:9" ht="15.75" hidden="1" thickBot="1" x14ac:dyDescent="0.3">
      <c r="A372" s="240" t="s">
        <v>3429</v>
      </c>
      <c r="B372" s="41" t="s">
        <v>572</v>
      </c>
      <c r="C372" s="26" t="s">
        <v>1053</v>
      </c>
      <c r="D372" s="94"/>
      <c r="E372" s="28" t="s">
        <v>572</v>
      </c>
      <c r="F372" s="28" t="str">
        <f t="shared" si="5"/>
        <v/>
      </c>
      <c r="G372" s="29"/>
      <c r="H372" s="30"/>
      <c r="I372" s="157">
        <v>0</v>
      </c>
    </row>
    <row r="373" spans="1:9" ht="15.75" hidden="1" thickBot="1" x14ac:dyDescent="0.3">
      <c r="A373" s="239"/>
      <c r="B373" s="32" t="s">
        <v>572</v>
      </c>
      <c r="C373" s="32"/>
      <c r="D373" s="92"/>
      <c r="E373" s="31" t="s">
        <v>572</v>
      </c>
      <c r="F373" s="31" t="str">
        <f t="shared" si="5"/>
        <v/>
      </c>
      <c r="G373" s="35"/>
      <c r="H373" s="31"/>
      <c r="I373" s="157">
        <v>0</v>
      </c>
    </row>
    <row r="374" spans="1:9" ht="39" hidden="1" thickBot="1" x14ac:dyDescent="0.3">
      <c r="A374" s="239"/>
      <c r="B374" s="36" t="s">
        <v>3432</v>
      </c>
      <c r="C374" s="36" t="s">
        <v>124</v>
      </c>
      <c r="D374" s="37">
        <v>4.1999999999999997E-3</v>
      </c>
      <c r="E374" s="31">
        <v>423.30672944999998</v>
      </c>
      <c r="F374" s="34">
        <f t="shared" si="5"/>
        <v>1.7778882636899997</v>
      </c>
      <c r="G374" s="45">
        <f>SUM(F374:F376)</f>
        <v>3.4381937636899993</v>
      </c>
      <c r="H374" s="46"/>
      <c r="I374" s="157">
        <v>0</v>
      </c>
    </row>
    <row r="375" spans="1:9" ht="15.75" hidden="1" thickBot="1" x14ac:dyDescent="0.3">
      <c r="A375" s="239"/>
      <c r="B375" s="36" t="s">
        <v>768</v>
      </c>
      <c r="C375" s="36" t="s">
        <v>759</v>
      </c>
      <c r="D375" s="37">
        <v>7.0000000000000007E-2</v>
      </c>
      <c r="E375" s="34">
        <v>22.087499999999999</v>
      </c>
      <c r="F375" s="34">
        <f t="shared" si="5"/>
        <v>1.546125</v>
      </c>
      <c r="G375" s="45"/>
      <c r="H375" s="46"/>
      <c r="I375" s="157">
        <v>0</v>
      </c>
    </row>
    <row r="376" spans="1:9" ht="15.75" hidden="1" thickBot="1" x14ac:dyDescent="0.3">
      <c r="A376" s="239"/>
      <c r="B376" s="36" t="s">
        <v>760</v>
      </c>
      <c r="C376" s="36" t="s">
        <v>759</v>
      </c>
      <c r="D376" s="37">
        <v>7.0000000000000001E-3</v>
      </c>
      <c r="E376" s="31">
        <v>16.311500000000002</v>
      </c>
      <c r="F376" s="34">
        <f t="shared" si="5"/>
        <v>0.11418050000000002</v>
      </c>
      <c r="G376" s="45"/>
      <c r="H376" s="46"/>
      <c r="I376" s="157">
        <v>0</v>
      </c>
    </row>
    <row r="377" spans="1:9" ht="15.75" hidden="1" thickBot="1" x14ac:dyDescent="0.3">
      <c r="A377" s="239"/>
      <c r="B377" s="36"/>
      <c r="C377" s="36"/>
      <c r="D377" s="37"/>
      <c r="E377" s="31"/>
      <c r="F377" s="34"/>
      <c r="G377" s="45"/>
      <c r="H377" s="46"/>
      <c r="I377" s="157">
        <v>0</v>
      </c>
    </row>
    <row r="378" spans="1:9" ht="15.75" hidden="1" thickBot="1" x14ac:dyDescent="0.3">
      <c r="A378" s="240" t="s">
        <v>3430</v>
      </c>
      <c r="B378" s="41" t="s">
        <v>572</v>
      </c>
      <c r="C378" s="26" t="s">
        <v>1053</v>
      </c>
      <c r="D378" s="94"/>
      <c r="E378" s="28" t="s">
        <v>572</v>
      </c>
      <c r="F378" s="28" t="str">
        <f>IF(ISNUMBER(E378),E378*$D378,"")</f>
        <v/>
      </c>
      <c r="G378" s="29"/>
      <c r="H378" s="30"/>
      <c r="I378" s="157">
        <v>0</v>
      </c>
    </row>
    <row r="379" spans="1:9" ht="15.75" hidden="1" thickBot="1" x14ac:dyDescent="0.3">
      <c r="A379" s="239"/>
      <c r="B379" s="32" t="s">
        <v>572</v>
      </c>
      <c r="C379" s="32"/>
      <c r="D379" s="92"/>
      <c r="E379" s="31" t="s">
        <v>572</v>
      </c>
      <c r="F379" s="31" t="str">
        <f>IF(ISNUMBER(E379),E379*$D379,"")</f>
        <v/>
      </c>
      <c r="G379" s="35"/>
      <c r="H379" s="31"/>
      <c r="I379" s="157">
        <v>0</v>
      </c>
    </row>
    <row r="380" spans="1:9" ht="51.75" hidden="1" thickBot="1" x14ac:dyDescent="0.3">
      <c r="A380" s="239"/>
      <c r="B380" s="36" t="s">
        <v>160</v>
      </c>
      <c r="C380" s="36" t="s">
        <v>124</v>
      </c>
      <c r="D380" s="37">
        <v>2.1299999999999999E-2</v>
      </c>
      <c r="E380" s="31">
        <v>471.35163140000003</v>
      </c>
      <c r="F380" s="34">
        <f>IF(ISNUMBER(E380),E380*$D380,"")</f>
        <v>10.039789748820001</v>
      </c>
      <c r="G380" s="45">
        <f>SUM(F380:F382)</f>
        <v>22.924060248820002</v>
      </c>
      <c r="H380" s="46"/>
      <c r="I380" s="157">
        <v>0</v>
      </c>
    </row>
    <row r="381" spans="1:9" ht="15.75" hidden="1" thickBot="1" x14ac:dyDescent="0.3">
      <c r="A381" s="239"/>
      <c r="B381" s="36" t="s">
        <v>768</v>
      </c>
      <c r="C381" s="36" t="s">
        <v>759</v>
      </c>
      <c r="D381" s="37">
        <v>0.46</v>
      </c>
      <c r="E381" s="34">
        <v>22.087499999999999</v>
      </c>
      <c r="F381" s="34">
        <f>IF(ISNUMBER(E381),E381*$D381,"")</f>
        <v>10.16025</v>
      </c>
      <c r="G381" s="45"/>
      <c r="H381" s="46"/>
      <c r="I381" s="157">
        <v>0</v>
      </c>
    </row>
    <row r="382" spans="1:9" ht="15.75" hidden="1" thickBot="1" x14ac:dyDescent="0.3">
      <c r="A382" s="239"/>
      <c r="B382" s="36" t="s">
        <v>760</v>
      </c>
      <c r="C382" s="36" t="s">
        <v>759</v>
      </c>
      <c r="D382" s="37">
        <v>0.16700000000000001</v>
      </c>
      <c r="E382" s="31">
        <v>16.311500000000002</v>
      </c>
      <c r="F382" s="34">
        <f>IF(ISNUMBER(E382),E382*$D382,"")</f>
        <v>2.7240205000000004</v>
      </c>
      <c r="G382" s="45"/>
      <c r="H382" s="46"/>
      <c r="I382" s="157">
        <v>0</v>
      </c>
    </row>
    <row r="383" spans="1:9" ht="15.75" hidden="1" thickBot="1" x14ac:dyDescent="0.3">
      <c r="A383" s="239"/>
      <c r="B383" s="36"/>
      <c r="C383" s="36"/>
      <c r="D383" s="37"/>
      <c r="E383" s="31"/>
      <c r="F383" s="34"/>
      <c r="G383" s="45"/>
      <c r="H383" s="46"/>
      <c r="I383" s="157">
        <v>0</v>
      </c>
    </row>
    <row r="384" spans="1:9" ht="15.75" hidden="1" thickBot="1" x14ac:dyDescent="0.3">
      <c r="A384" s="240" t="s">
        <v>3428</v>
      </c>
      <c r="B384" s="41" t="s">
        <v>572</v>
      </c>
      <c r="C384" s="26" t="s">
        <v>1053</v>
      </c>
      <c r="D384" s="94"/>
      <c r="E384" s="28" t="s">
        <v>572</v>
      </c>
      <c r="F384" s="28" t="str">
        <f t="shared" ref="F384:F392" si="6">IF(ISNUMBER(E384),E384*$D384,"")</f>
        <v/>
      </c>
      <c r="G384" s="29"/>
      <c r="H384" s="30"/>
      <c r="I384" s="157">
        <v>0</v>
      </c>
    </row>
    <row r="385" spans="1:9" ht="15.75" hidden="1" thickBot="1" x14ac:dyDescent="0.3">
      <c r="A385" s="239"/>
      <c r="B385" s="32" t="s">
        <v>572</v>
      </c>
      <c r="C385" s="32"/>
      <c r="D385" s="92"/>
      <c r="E385" s="31" t="s">
        <v>572</v>
      </c>
      <c r="F385" s="31" t="str">
        <f t="shared" si="6"/>
        <v/>
      </c>
      <c r="G385" s="35"/>
      <c r="H385" s="31"/>
      <c r="I385" s="157">
        <v>0</v>
      </c>
    </row>
    <row r="386" spans="1:9" ht="26.25" hidden="1" thickBot="1" x14ac:dyDescent="0.3">
      <c r="A386" s="239"/>
      <c r="B386" s="36" t="s">
        <v>3609</v>
      </c>
      <c r="C386" s="36" t="s">
        <v>299</v>
      </c>
      <c r="D386" s="37">
        <v>13.5</v>
      </c>
      <c r="E386" s="31">
        <v>2.09</v>
      </c>
      <c r="F386" s="34">
        <f t="shared" si="6"/>
        <v>28.214999999999996</v>
      </c>
      <c r="G386" s="45">
        <f>SUM(F386:F391)</f>
        <v>57.345162156319994</v>
      </c>
      <c r="H386" s="46"/>
      <c r="I386" s="157">
        <v>0</v>
      </c>
    </row>
    <row r="387" spans="1:9" ht="26.25" hidden="1" thickBot="1" x14ac:dyDescent="0.3">
      <c r="A387" s="239"/>
      <c r="B387" s="36" t="s">
        <v>3477</v>
      </c>
      <c r="C387" s="36" t="s">
        <v>527</v>
      </c>
      <c r="D387" s="37">
        <v>0.78500000000000003</v>
      </c>
      <c r="E387" s="34">
        <v>3.6479999999999997</v>
      </c>
      <c r="F387" s="34">
        <f t="shared" si="6"/>
        <v>2.86368</v>
      </c>
      <c r="G387" s="45"/>
      <c r="H387" s="46"/>
      <c r="I387" s="157">
        <v>0</v>
      </c>
    </row>
    <row r="388" spans="1:9" ht="15.75" hidden="1" thickBot="1" x14ac:dyDescent="0.3">
      <c r="A388" s="239"/>
      <c r="B388" s="36" t="s">
        <v>3467</v>
      </c>
      <c r="C388" s="36" t="s">
        <v>1324</v>
      </c>
      <c r="D388" s="37">
        <v>9.4000000000000004E-3</v>
      </c>
      <c r="E388" s="31">
        <v>36.536999999999999</v>
      </c>
      <c r="F388" s="34">
        <f t="shared" si="6"/>
        <v>0.34344780000000003</v>
      </c>
      <c r="G388" s="45"/>
      <c r="H388" s="46"/>
      <c r="I388" s="157">
        <v>0</v>
      </c>
    </row>
    <row r="389" spans="1:9" ht="51.75" hidden="1" thickBot="1" x14ac:dyDescent="0.3">
      <c r="A389" s="239"/>
      <c r="B389" s="36" t="s">
        <v>160</v>
      </c>
      <c r="C389" s="36" t="s">
        <v>124</v>
      </c>
      <c r="D389" s="37">
        <v>8.8000000000000005E-3</v>
      </c>
      <c r="E389" s="31">
        <v>471.35163140000003</v>
      </c>
      <c r="F389" s="34">
        <f t="shared" si="6"/>
        <v>4.1478943563200001</v>
      </c>
      <c r="G389" s="45"/>
      <c r="H389" s="46"/>
      <c r="I389" s="157">
        <v>0</v>
      </c>
    </row>
    <row r="390" spans="1:9" ht="15.75" hidden="1" thickBot="1" x14ac:dyDescent="0.3">
      <c r="A390" s="239"/>
      <c r="B390" s="36" t="s">
        <v>768</v>
      </c>
      <c r="C390" s="36" t="s">
        <v>759</v>
      </c>
      <c r="D390" s="37">
        <v>0.72</v>
      </c>
      <c r="E390" s="31">
        <v>22.087499999999999</v>
      </c>
      <c r="F390" s="34">
        <f t="shared" si="6"/>
        <v>15.902999999999999</v>
      </c>
      <c r="G390" s="45"/>
      <c r="H390" s="46"/>
      <c r="I390" s="157">
        <v>0</v>
      </c>
    </row>
    <row r="391" spans="1:9" ht="15.75" hidden="1" thickBot="1" x14ac:dyDescent="0.3">
      <c r="A391" s="239"/>
      <c r="B391" s="36" t="s">
        <v>760</v>
      </c>
      <c r="C391" s="36" t="s">
        <v>759</v>
      </c>
      <c r="D391" s="37">
        <v>0.36</v>
      </c>
      <c r="E391" s="31">
        <v>16.311500000000002</v>
      </c>
      <c r="F391" s="34">
        <f t="shared" si="6"/>
        <v>5.8721400000000008</v>
      </c>
      <c r="G391" s="45"/>
      <c r="H391" s="46"/>
      <c r="I391" s="157">
        <v>0</v>
      </c>
    </row>
    <row r="392" spans="1:9" ht="15.75" hidden="1" thickBot="1" x14ac:dyDescent="0.3">
      <c r="A392" s="241"/>
      <c r="B392" s="55" t="s">
        <v>572</v>
      </c>
      <c r="C392" s="55"/>
      <c r="D392" s="96"/>
      <c r="E392" s="67" t="s">
        <v>572</v>
      </c>
      <c r="F392" s="68" t="str">
        <f t="shared" si="6"/>
        <v/>
      </c>
      <c r="G392" s="69"/>
      <c r="H392" s="31"/>
      <c r="I392" s="157">
        <v>0</v>
      </c>
    </row>
    <row r="393" spans="1:9" ht="26.25" hidden="1" customHeight="1" thickBot="1" x14ac:dyDescent="0.3">
      <c r="A393" s="240" t="s">
        <v>3779</v>
      </c>
      <c r="B393" s="41" t="s">
        <v>572</v>
      </c>
      <c r="C393" s="78" t="s">
        <v>1053</v>
      </c>
      <c r="D393" s="94"/>
      <c r="E393" s="42" t="s">
        <v>572</v>
      </c>
      <c r="F393" s="42" t="str">
        <f t="shared" ref="F393:F409" si="7">IF(ISNUMBER(E393),ROUND(E393*$D393,2),"")</f>
        <v/>
      </c>
      <c r="G393" s="29"/>
      <c r="H393" s="30"/>
      <c r="I393" s="157">
        <v>0</v>
      </c>
    </row>
    <row r="394" spans="1:9" ht="15.75" hidden="1" thickBot="1" x14ac:dyDescent="0.3">
      <c r="A394" s="239"/>
      <c r="B394" s="32" t="s">
        <v>572</v>
      </c>
      <c r="C394" s="79"/>
      <c r="D394" s="92"/>
      <c r="E394" s="98" t="s">
        <v>572</v>
      </c>
      <c r="F394" s="99" t="str">
        <f t="shared" si="7"/>
        <v/>
      </c>
      <c r="G394" s="35"/>
      <c r="H394" s="31"/>
      <c r="I394" s="157">
        <v>0</v>
      </c>
    </row>
    <row r="395" spans="1:9" ht="26.25" hidden="1" thickBot="1" x14ac:dyDescent="0.3">
      <c r="A395" s="239"/>
      <c r="B395" s="36" t="s">
        <v>3792</v>
      </c>
      <c r="C395" s="50" t="s">
        <v>527</v>
      </c>
      <c r="D395" s="37">
        <v>4.4320000000000004</v>
      </c>
      <c r="E395" s="34">
        <v>1.9854999999999998</v>
      </c>
      <c r="F395" s="34">
        <f t="shared" si="7"/>
        <v>8.8000000000000007</v>
      </c>
      <c r="G395" s="45">
        <f>SUM(F395:F401)</f>
        <v>170.6</v>
      </c>
      <c r="H395" s="46"/>
      <c r="I395" s="157">
        <v>0</v>
      </c>
    </row>
    <row r="396" spans="1:9" ht="15.75" hidden="1" thickBot="1" x14ac:dyDescent="0.3">
      <c r="A396" s="239"/>
      <c r="B396" s="36" t="s">
        <v>1459</v>
      </c>
      <c r="C396" s="50" t="s">
        <v>957</v>
      </c>
      <c r="D396" s="37">
        <v>8.5999999999999993E-2</v>
      </c>
      <c r="E396" s="34">
        <v>17.394499999999997</v>
      </c>
      <c r="F396" s="34">
        <f t="shared" si="7"/>
        <v>1.5</v>
      </c>
      <c r="G396" s="45"/>
      <c r="H396" s="46"/>
      <c r="I396" s="157">
        <v>0</v>
      </c>
    </row>
    <row r="397" spans="1:9" ht="26.25" hidden="1" thickBot="1" x14ac:dyDescent="0.3">
      <c r="A397" s="239"/>
      <c r="B397" s="36" t="s">
        <v>100</v>
      </c>
      <c r="C397" s="50" t="s">
        <v>527</v>
      </c>
      <c r="D397" s="37">
        <v>6.53</v>
      </c>
      <c r="E397" s="31">
        <v>21.355999999999998</v>
      </c>
      <c r="F397" s="34">
        <f t="shared" si="7"/>
        <v>139.44999999999999</v>
      </c>
      <c r="G397" s="45"/>
      <c r="H397" s="46"/>
      <c r="I397" s="157">
        <v>0</v>
      </c>
    </row>
    <row r="398" spans="1:9" ht="15.75" hidden="1" thickBot="1" x14ac:dyDescent="0.3">
      <c r="A398" s="239"/>
      <c r="B398" s="36" t="s">
        <v>843</v>
      </c>
      <c r="C398" s="50" t="s">
        <v>759</v>
      </c>
      <c r="D398" s="37">
        <v>0.14299999999999999</v>
      </c>
      <c r="E398" s="31">
        <v>18.468</v>
      </c>
      <c r="F398" s="34">
        <f t="shared" si="7"/>
        <v>2.64</v>
      </c>
      <c r="G398" s="45"/>
      <c r="H398" s="46"/>
      <c r="I398" s="157">
        <v>0</v>
      </c>
    </row>
    <row r="399" spans="1:9" ht="15.75" hidden="1" thickBot="1" x14ac:dyDescent="0.3">
      <c r="A399" s="239"/>
      <c r="B399" s="36" t="s">
        <v>1054</v>
      </c>
      <c r="C399" s="50" t="s">
        <v>759</v>
      </c>
      <c r="D399" s="37">
        <v>0.71499999999999997</v>
      </c>
      <c r="E399" s="31">
        <v>21.878499999999999</v>
      </c>
      <c r="F399" s="34">
        <f t="shared" si="7"/>
        <v>15.64</v>
      </c>
      <c r="G399" s="45"/>
      <c r="H399" s="46"/>
      <c r="I399" s="157">
        <v>0</v>
      </c>
    </row>
    <row r="400" spans="1:9" ht="26.25" hidden="1" thickBot="1" x14ac:dyDescent="0.3">
      <c r="A400" s="239"/>
      <c r="B400" s="36" t="s">
        <v>1226</v>
      </c>
      <c r="C400" s="50" t="s">
        <v>1001</v>
      </c>
      <c r="D400" s="37">
        <v>0.05</v>
      </c>
      <c r="E400" s="31">
        <v>19.180499999999999</v>
      </c>
      <c r="F400" s="34">
        <f t="shared" si="7"/>
        <v>0.96</v>
      </c>
      <c r="G400" s="45"/>
      <c r="H400" s="46"/>
      <c r="I400" s="157">
        <v>0</v>
      </c>
    </row>
    <row r="401" spans="1:9" ht="26.25" hidden="1" thickBot="1" x14ac:dyDescent="0.3">
      <c r="A401" s="239"/>
      <c r="B401" s="36" t="s">
        <v>1227</v>
      </c>
      <c r="C401" s="50" t="s">
        <v>1003</v>
      </c>
      <c r="D401" s="37">
        <v>9.2999999999999999E-2</v>
      </c>
      <c r="E401" s="34">
        <v>17.327999999999999</v>
      </c>
      <c r="F401" s="34">
        <f t="shared" si="7"/>
        <v>1.61</v>
      </c>
      <c r="G401" s="45"/>
      <c r="H401" s="46"/>
      <c r="I401" s="157">
        <v>0</v>
      </c>
    </row>
    <row r="402" spans="1:9" ht="15.75" hidden="1" thickBot="1" x14ac:dyDescent="0.3">
      <c r="A402" s="241"/>
      <c r="B402" s="104"/>
      <c r="C402" s="80"/>
      <c r="D402" s="96"/>
      <c r="E402" s="67" t="s">
        <v>572</v>
      </c>
      <c r="F402" s="67" t="str">
        <f t="shared" si="7"/>
        <v/>
      </c>
      <c r="G402" s="69"/>
      <c r="H402" s="31"/>
      <c r="I402" s="157">
        <v>0</v>
      </c>
    </row>
    <row r="403" spans="1:9" ht="26.25" hidden="1" customHeight="1" thickBot="1" x14ac:dyDescent="0.3">
      <c r="A403" s="240" t="s">
        <v>3432</v>
      </c>
      <c r="B403" s="41" t="s">
        <v>572</v>
      </c>
      <c r="C403" s="78" t="s">
        <v>124</v>
      </c>
      <c r="D403" s="94"/>
      <c r="E403" s="42" t="s">
        <v>572</v>
      </c>
      <c r="F403" s="42" t="str">
        <f t="shared" si="7"/>
        <v/>
      </c>
      <c r="G403" s="29"/>
      <c r="H403" s="30"/>
      <c r="I403" s="157">
        <v>0</v>
      </c>
    </row>
    <row r="404" spans="1:9" ht="15.75" hidden="1" thickBot="1" x14ac:dyDescent="0.3">
      <c r="A404" s="239"/>
      <c r="B404" s="32" t="s">
        <v>572</v>
      </c>
      <c r="C404" s="79"/>
      <c r="D404" s="92"/>
      <c r="E404" s="98" t="s">
        <v>572</v>
      </c>
      <c r="F404" s="99" t="str">
        <f t="shared" si="7"/>
        <v/>
      </c>
      <c r="G404" s="35"/>
      <c r="H404" s="31"/>
      <c r="I404" s="157">
        <v>0</v>
      </c>
    </row>
    <row r="405" spans="1:9" ht="26.25" hidden="1" thickBot="1" x14ac:dyDescent="0.3">
      <c r="A405" s="239"/>
      <c r="B405" s="36" t="s">
        <v>1372</v>
      </c>
      <c r="C405" s="50" t="s">
        <v>124</v>
      </c>
      <c r="D405" s="37">
        <v>0.95</v>
      </c>
      <c r="E405" s="34">
        <v>112.63199999999999</v>
      </c>
      <c r="F405" s="34">
        <f t="shared" si="7"/>
        <v>107</v>
      </c>
      <c r="G405" s="45">
        <f>SUM(F405:F413)</f>
        <v>423.35588766500007</v>
      </c>
      <c r="H405" s="46"/>
      <c r="I405" s="157">
        <v>0</v>
      </c>
    </row>
    <row r="406" spans="1:9" ht="15.75" hidden="1" thickBot="1" x14ac:dyDescent="0.3">
      <c r="A406" s="239"/>
      <c r="B406" s="36" t="s">
        <v>805</v>
      </c>
      <c r="C406" s="50" t="s">
        <v>957</v>
      </c>
      <c r="D406" s="37">
        <v>426.49</v>
      </c>
      <c r="E406" s="34">
        <v>0.47499999999999998</v>
      </c>
      <c r="F406" s="34">
        <f t="shared" si="7"/>
        <v>202.58</v>
      </c>
      <c r="G406" s="45"/>
      <c r="H406" s="46"/>
      <c r="I406" s="157">
        <v>0</v>
      </c>
    </row>
    <row r="407" spans="1:9" ht="26.25" hidden="1" thickBot="1" x14ac:dyDescent="0.3">
      <c r="A407" s="239"/>
      <c r="B407" s="36" t="s">
        <v>1538</v>
      </c>
      <c r="C407" s="50" t="s">
        <v>759</v>
      </c>
      <c r="D407" s="37">
        <v>4.32</v>
      </c>
      <c r="E407" s="31">
        <v>16.5015</v>
      </c>
      <c r="F407" s="34">
        <f t="shared" si="7"/>
        <v>71.290000000000006</v>
      </c>
      <c r="G407" s="45"/>
      <c r="H407" s="46"/>
      <c r="I407" s="157">
        <v>0</v>
      </c>
    </row>
    <row r="408" spans="1:9" ht="39" hidden="1" thickBot="1" x14ac:dyDescent="0.3">
      <c r="A408" s="239"/>
      <c r="B408" s="36" t="s">
        <v>121</v>
      </c>
      <c r="C408" s="50" t="s">
        <v>1001</v>
      </c>
      <c r="D408" s="37">
        <v>1.01</v>
      </c>
      <c r="E408" s="31">
        <v>1.2064999999999999</v>
      </c>
      <c r="F408" s="34">
        <f t="shared" si="7"/>
        <v>1.22</v>
      </c>
      <c r="G408" s="45"/>
      <c r="H408" s="46"/>
      <c r="I408" s="157">
        <v>0</v>
      </c>
    </row>
    <row r="409" spans="1:9" ht="39" hidden="1" thickBot="1" x14ac:dyDescent="0.3">
      <c r="A409" s="239"/>
      <c r="B409" s="36" t="s">
        <v>122</v>
      </c>
      <c r="C409" s="50" t="s">
        <v>1003</v>
      </c>
      <c r="D409" s="37">
        <v>3.31</v>
      </c>
      <c r="E409" s="31">
        <v>0.26600000000000001</v>
      </c>
      <c r="F409" s="34">
        <f t="shared" si="7"/>
        <v>0.88</v>
      </c>
      <c r="G409" s="45"/>
      <c r="H409" s="46"/>
      <c r="I409" s="157">
        <v>0</v>
      </c>
    </row>
    <row r="410" spans="1:9" ht="51.75" hidden="1" thickBot="1" x14ac:dyDescent="0.3">
      <c r="A410" s="239"/>
      <c r="B410" s="36" t="s">
        <v>3619</v>
      </c>
      <c r="C410" s="36" t="s">
        <v>124</v>
      </c>
      <c r="D410" s="37">
        <f>ROUND(1*(D405),4)</f>
        <v>0.95</v>
      </c>
      <c r="E410" s="31">
        <v>5.6237587000000007</v>
      </c>
      <c r="F410" s="34">
        <f>IF(ISNUMBER(E410),E410*$D410,"")</f>
        <v>5.3425707650000005</v>
      </c>
      <c r="G410" s="45"/>
      <c r="H410" s="46"/>
      <c r="I410" s="157">
        <v>0</v>
      </c>
    </row>
    <row r="411" spans="1:9" ht="39" hidden="1" thickBot="1" x14ac:dyDescent="0.3">
      <c r="A411" s="239"/>
      <c r="B411" s="36" t="s">
        <v>3616</v>
      </c>
      <c r="C411" s="47" t="s">
        <v>126</v>
      </c>
      <c r="D411" s="37">
        <f>ROUND(D405*20,4)</f>
        <v>19</v>
      </c>
      <c r="E411" s="31">
        <v>1.8443850999999998</v>
      </c>
      <c r="F411" s="34">
        <f>IF(ISNUMBER(E411),E411*$D411,"")</f>
        <v>35.043316899999994</v>
      </c>
      <c r="G411" s="45"/>
      <c r="H411" s="46"/>
      <c r="I411" s="157">
        <v>0</v>
      </c>
    </row>
    <row r="412" spans="1:9" ht="15.75" hidden="1" thickBot="1" x14ac:dyDescent="0.3">
      <c r="A412" s="239"/>
      <c r="B412" s="51"/>
      <c r="C412" s="131"/>
      <c r="D412" s="37"/>
      <c r="E412" s="31" t="s">
        <v>572</v>
      </c>
      <c r="F412" s="34" t="str">
        <f t="shared" ref="F412:F421" si="8">IF(ISNUMBER(E412),ROUND(E412*$D412,2),"")</f>
        <v/>
      </c>
      <c r="G412" s="45"/>
      <c r="H412" s="46"/>
      <c r="I412" s="157">
        <v>0</v>
      </c>
    </row>
    <row r="413" spans="1:9" ht="15.75" hidden="1" thickBot="1" x14ac:dyDescent="0.3">
      <c r="A413" s="239"/>
      <c r="B413" s="48" t="s">
        <v>812</v>
      </c>
      <c r="C413" s="131"/>
      <c r="D413" s="37"/>
      <c r="E413" s="31" t="s">
        <v>572</v>
      </c>
      <c r="F413" s="34" t="str">
        <f t="shared" si="8"/>
        <v/>
      </c>
      <c r="G413" s="45"/>
      <c r="H413" s="46"/>
      <c r="I413" s="157">
        <v>0</v>
      </c>
    </row>
    <row r="414" spans="1:9" ht="15.75" hidden="1" thickBot="1" x14ac:dyDescent="0.3">
      <c r="A414" s="241"/>
      <c r="B414" s="104"/>
      <c r="C414" s="80"/>
      <c r="D414" s="96"/>
      <c r="E414" s="67" t="s">
        <v>572</v>
      </c>
      <c r="F414" s="67" t="str">
        <f t="shared" si="8"/>
        <v/>
      </c>
      <c r="G414" s="69"/>
      <c r="H414" s="31"/>
      <c r="I414" s="157">
        <v>0</v>
      </c>
    </row>
    <row r="415" spans="1:9" ht="26.25" hidden="1" customHeight="1" thickBot="1" x14ac:dyDescent="0.3">
      <c r="A415" s="240" t="s">
        <v>3431</v>
      </c>
      <c r="B415" s="41" t="s">
        <v>572</v>
      </c>
      <c r="C415" s="78" t="s">
        <v>124</v>
      </c>
      <c r="D415" s="94"/>
      <c r="E415" s="42" t="s">
        <v>572</v>
      </c>
      <c r="F415" s="42" t="str">
        <f t="shared" si="8"/>
        <v/>
      </c>
      <c r="G415" s="29"/>
      <c r="H415" s="30"/>
      <c r="I415" s="157">
        <v>0</v>
      </c>
    </row>
    <row r="416" spans="1:9" ht="15.75" hidden="1" thickBot="1" x14ac:dyDescent="0.3">
      <c r="A416" s="239"/>
      <c r="B416" s="32" t="s">
        <v>572</v>
      </c>
      <c r="C416" s="79"/>
      <c r="D416" s="92"/>
      <c r="E416" s="98" t="s">
        <v>572</v>
      </c>
      <c r="F416" s="99" t="str">
        <f t="shared" si="8"/>
        <v/>
      </c>
      <c r="G416" s="35"/>
      <c r="H416" s="31"/>
      <c r="I416" s="157">
        <v>0</v>
      </c>
    </row>
    <row r="417" spans="1:9" ht="26.25" hidden="1" thickBot="1" x14ac:dyDescent="0.3">
      <c r="A417" s="239"/>
      <c r="B417" s="36" t="s">
        <v>1372</v>
      </c>
      <c r="C417" s="50" t="s">
        <v>124</v>
      </c>
      <c r="D417" s="37">
        <v>1.27</v>
      </c>
      <c r="E417" s="34">
        <v>112.63199999999999</v>
      </c>
      <c r="F417" s="34">
        <f t="shared" si="8"/>
        <v>143.04</v>
      </c>
      <c r="G417" s="45">
        <f>SUM(F417:F425)</f>
        <v>544.569555089</v>
      </c>
      <c r="H417" s="46"/>
      <c r="I417" s="157">
        <v>0</v>
      </c>
    </row>
    <row r="418" spans="1:9" ht="15.75" hidden="1" thickBot="1" x14ac:dyDescent="0.3">
      <c r="A418" s="239"/>
      <c r="B418" s="36" t="s">
        <v>805</v>
      </c>
      <c r="C418" s="50" t="s">
        <v>957</v>
      </c>
      <c r="D418" s="37">
        <v>573.61</v>
      </c>
      <c r="E418" s="34">
        <v>0.47499999999999998</v>
      </c>
      <c r="F418" s="34">
        <f t="shared" si="8"/>
        <v>272.45999999999998</v>
      </c>
      <c r="G418" s="45"/>
      <c r="H418" s="46"/>
      <c r="I418" s="157">
        <v>0</v>
      </c>
    </row>
    <row r="419" spans="1:9" ht="26.25" hidden="1" thickBot="1" x14ac:dyDescent="0.3">
      <c r="A419" s="239"/>
      <c r="B419" s="36" t="s">
        <v>1538</v>
      </c>
      <c r="C419" s="50" t="s">
        <v>759</v>
      </c>
      <c r="D419" s="37">
        <v>4.42</v>
      </c>
      <c r="E419" s="31">
        <v>16.5015</v>
      </c>
      <c r="F419" s="34">
        <f t="shared" si="8"/>
        <v>72.94</v>
      </c>
      <c r="G419" s="45"/>
      <c r="H419" s="46"/>
      <c r="I419" s="157">
        <v>0</v>
      </c>
    </row>
    <row r="420" spans="1:9" ht="39" hidden="1" thickBot="1" x14ac:dyDescent="0.3">
      <c r="A420" s="239"/>
      <c r="B420" s="36" t="s">
        <v>121</v>
      </c>
      <c r="C420" s="50" t="s">
        <v>1001</v>
      </c>
      <c r="D420" s="37">
        <v>1.03</v>
      </c>
      <c r="E420" s="31">
        <v>1.2064999999999999</v>
      </c>
      <c r="F420" s="34">
        <f t="shared" si="8"/>
        <v>1.24</v>
      </c>
      <c r="G420" s="45"/>
      <c r="H420" s="46"/>
      <c r="I420" s="157">
        <v>0</v>
      </c>
    </row>
    <row r="421" spans="1:9" ht="39" hidden="1" thickBot="1" x14ac:dyDescent="0.3">
      <c r="A421" s="239"/>
      <c r="B421" s="36" t="s">
        <v>122</v>
      </c>
      <c r="C421" s="50" t="s">
        <v>1003</v>
      </c>
      <c r="D421" s="37">
        <v>3.39</v>
      </c>
      <c r="E421" s="31">
        <v>0.26600000000000001</v>
      </c>
      <c r="F421" s="34">
        <f t="shared" si="8"/>
        <v>0.9</v>
      </c>
      <c r="G421" s="45"/>
      <c r="H421" s="46"/>
      <c r="I421" s="157">
        <v>0</v>
      </c>
    </row>
    <row r="422" spans="1:9" ht="51.75" hidden="1" thickBot="1" x14ac:dyDescent="0.3">
      <c r="A422" s="239"/>
      <c r="B422" s="36" t="s">
        <v>3619</v>
      </c>
      <c r="C422" s="36" t="s">
        <v>124</v>
      </c>
      <c r="D422" s="37">
        <f>ROUND(1*(D417),4)</f>
        <v>1.27</v>
      </c>
      <c r="E422" s="31">
        <v>5.6237587000000007</v>
      </c>
      <c r="F422" s="34">
        <f>IF(ISNUMBER(E422),E422*$D422,"")</f>
        <v>7.1421735490000007</v>
      </c>
      <c r="G422" s="45"/>
      <c r="H422" s="46"/>
      <c r="I422" s="157">
        <v>0</v>
      </c>
    </row>
    <row r="423" spans="1:9" ht="39" hidden="1" thickBot="1" x14ac:dyDescent="0.3">
      <c r="A423" s="239"/>
      <c r="B423" s="36" t="s">
        <v>3616</v>
      </c>
      <c r="C423" s="47" t="s">
        <v>126</v>
      </c>
      <c r="D423" s="37">
        <f>ROUND(D417*20,4)</f>
        <v>25.4</v>
      </c>
      <c r="E423" s="31">
        <v>1.8443850999999998</v>
      </c>
      <c r="F423" s="34">
        <f>IF(ISNUMBER(E423),E423*$D423,"")</f>
        <v>46.847381539999994</v>
      </c>
      <c r="G423" s="45"/>
      <c r="H423" s="46"/>
      <c r="I423" s="157">
        <v>0</v>
      </c>
    </row>
    <row r="424" spans="1:9" ht="15.75" hidden="1" thickBot="1" x14ac:dyDescent="0.3">
      <c r="A424" s="239"/>
      <c r="B424" s="51"/>
      <c r="C424" s="131"/>
      <c r="D424" s="37"/>
      <c r="E424" s="31" t="s">
        <v>572</v>
      </c>
      <c r="F424" s="34" t="str">
        <f t="shared" ref="F424:F432" si="9">IF(ISNUMBER(E424),ROUND(E424*$D424,2),"")</f>
        <v/>
      </c>
      <c r="G424" s="45"/>
      <c r="H424" s="46"/>
      <c r="I424" s="157">
        <v>0</v>
      </c>
    </row>
    <row r="425" spans="1:9" ht="24.95" hidden="1" customHeight="1" x14ac:dyDescent="0.3">
      <c r="A425" s="239"/>
      <c r="B425" s="48" t="s">
        <v>812</v>
      </c>
      <c r="C425" s="131"/>
      <c r="D425" s="37"/>
      <c r="E425" s="31" t="s">
        <v>572</v>
      </c>
      <c r="F425" s="34" t="str">
        <f t="shared" si="9"/>
        <v/>
      </c>
      <c r="G425" s="45"/>
      <c r="H425" s="46"/>
      <c r="I425" s="157">
        <v>0</v>
      </c>
    </row>
    <row r="426" spans="1:9" ht="15.75" hidden="1" thickBot="1" x14ac:dyDescent="0.3">
      <c r="A426" s="241"/>
      <c r="B426" s="104"/>
      <c r="C426" s="80"/>
      <c r="D426" s="96"/>
      <c r="E426" s="67" t="s">
        <v>572</v>
      </c>
      <c r="F426" s="67" t="str">
        <f t="shared" si="9"/>
        <v/>
      </c>
      <c r="G426" s="69"/>
      <c r="H426" s="31"/>
      <c r="I426" s="157">
        <v>0</v>
      </c>
    </row>
    <row r="427" spans="1:9" ht="26.25" hidden="1" customHeight="1" thickBot="1" x14ac:dyDescent="0.3">
      <c r="A427" s="240" t="s">
        <v>3433</v>
      </c>
      <c r="B427" s="41" t="s">
        <v>572</v>
      </c>
      <c r="C427" s="78" t="s">
        <v>124</v>
      </c>
      <c r="D427" s="94"/>
      <c r="E427" s="42" t="s">
        <v>572</v>
      </c>
      <c r="F427" s="42" t="str">
        <f t="shared" si="9"/>
        <v/>
      </c>
      <c r="G427" s="29"/>
      <c r="H427" s="30"/>
      <c r="I427" s="157">
        <v>0</v>
      </c>
    </row>
    <row r="428" spans="1:9" ht="15.75" hidden="1" thickBot="1" x14ac:dyDescent="0.3">
      <c r="A428" s="239"/>
      <c r="B428" s="32" t="s">
        <v>572</v>
      </c>
      <c r="C428" s="79"/>
      <c r="D428" s="92"/>
      <c r="E428" s="98" t="s">
        <v>572</v>
      </c>
      <c r="F428" s="99" t="str">
        <f t="shared" si="9"/>
        <v/>
      </c>
      <c r="G428" s="35"/>
      <c r="H428" s="31"/>
      <c r="I428" s="157">
        <v>0</v>
      </c>
    </row>
    <row r="429" spans="1:9" ht="26.25" hidden="1" thickBot="1" x14ac:dyDescent="0.3">
      <c r="A429" s="239"/>
      <c r="B429" s="36" t="s">
        <v>809</v>
      </c>
      <c r="C429" s="50" t="s">
        <v>124</v>
      </c>
      <c r="D429" s="37">
        <v>1.1599999999999999</v>
      </c>
      <c r="E429" s="34">
        <v>90.25</v>
      </c>
      <c r="F429" s="34">
        <f t="shared" si="9"/>
        <v>104.69</v>
      </c>
      <c r="G429" s="45">
        <f>SUM(F429:F436)</f>
        <v>561.10329441199997</v>
      </c>
      <c r="H429" s="46"/>
      <c r="I429" s="157">
        <v>0</v>
      </c>
    </row>
    <row r="430" spans="1:9" ht="15.75" hidden="1" thickBot="1" x14ac:dyDescent="0.3">
      <c r="A430" s="239"/>
      <c r="B430" s="36" t="s">
        <v>1540</v>
      </c>
      <c r="C430" s="50" t="s">
        <v>957</v>
      </c>
      <c r="D430" s="37">
        <v>116.4</v>
      </c>
      <c r="E430" s="34">
        <v>0.85499999999999998</v>
      </c>
      <c r="F430" s="34">
        <f t="shared" si="9"/>
        <v>99.52</v>
      </c>
      <c r="G430" s="45"/>
      <c r="H430" s="46"/>
      <c r="I430" s="157">
        <v>0</v>
      </c>
    </row>
    <row r="431" spans="1:9" ht="15.75" hidden="1" thickBot="1" x14ac:dyDescent="0.3">
      <c r="A431" s="239"/>
      <c r="B431" s="36" t="s">
        <v>805</v>
      </c>
      <c r="C431" s="50" t="s">
        <v>957</v>
      </c>
      <c r="D431" s="37">
        <v>261.89</v>
      </c>
      <c r="E431" s="31">
        <v>0.47499999999999998</v>
      </c>
      <c r="F431" s="34">
        <f t="shared" si="9"/>
        <v>124.4</v>
      </c>
      <c r="G431" s="45"/>
      <c r="H431" s="46"/>
      <c r="I431" s="157">
        <v>0</v>
      </c>
    </row>
    <row r="432" spans="1:9" ht="15.75" hidden="1" thickBot="1" x14ac:dyDescent="0.3">
      <c r="A432" s="239"/>
      <c r="B432" s="36" t="s">
        <v>760</v>
      </c>
      <c r="C432" s="50" t="s">
        <v>759</v>
      </c>
      <c r="D432" s="37">
        <v>11.23</v>
      </c>
      <c r="E432" s="31">
        <v>16.311500000000002</v>
      </c>
      <c r="F432" s="34">
        <f t="shared" si="9"/>
        <v>183.18</v>
      </c>
      <c r="G432" s="45"/>
      <c r="H432" s="46"/>
      <c r="I432" s="157">
        <v>0</v>
      </c>
    </row>
    <row r="433" spans="1:9" ht="51.75" hidden="1" thickBot="1" x14ac:dyDescent="0.3">
      <c r="A433" s="239"/>
      <c r="B433" s="36" t="s">
        <v>3619</v>
      </c>
      <c r="C433" s="36" t="s">
        <v>124</v>
      </c>
      <c r="D433" s="37">
        <f>ROUND(1*(D429),4)</f>
        <v>1.1599999999999999</v>
      </c>
      <c r="E433" s="31">
        <v>5.6237587000000007</v>
      </c>
      <c r="F433" s="34">
        <f>IF(ISNUMBER(E433),E433*$D433,"")</f>
        <v>6.5235600920000003</v>
      </c>
      <c r="G433" s="45"/>
      <c r="H433" s="46"/>
      <c r="I433" s="157">
        <v>0</v>
      </c>
    </row>
    <row r="434" spans="1:9" ht="39" hidden="1" thickBot="1" x14ac:dyDescent="0.3">
      <c r="A434" s="239"/>
      <c r="B434" s="36" t="s">
        <v>3616</v>
      </c>
      <c r="C434" s="47" t="s">
        <v>126</v>
      </c>
      <c r="D434" s="37">
        <f>ROUND(D429*20,4)</f>
        <v>23.2</v>
      </c>
      <c r="E434" s="31">
        <v>1.8443850999999998</v>
      </c>
      <c r="F434" s="34">
        <f>IF(ISNUMBER(E434),E434*$D434,"")</f>
        <v>42.789734319999994</v>
      </c>
      <c r="G434" s="45"/>
      <c r="H434" s="46"/>
      <c r="I434" s="157">
        <v>0</v>
      </c>
    </row>
    <row r="435" spans="1:9" ht="15.75" hidden="1" thickBot="1" x14ac:dyDescent="0.3">
      <c r="A435" s="239"/>
      <c r="B435" s="51"/>
      <c r="C435" s="131"/>
      <c r="D435" s="37"/>
      <c r="E435" s="31" t="s">
        <v>572</v>
      </c>
      <c r="F435" s="34" t="str">
        <f>IF(ISNUMBER(E435),ROUND(E435*$D435,2),"")</f>
        <v/>
      </c>
      <c r="G435" s="45"/>
      <c r="H435" s="46"/>
      <c r="I435" s="157">
        <v>0</v>
      </c>
    </row>
    <row r="436" spans="1:9" ht="24.95" hidden="1" customHeight="1" x14ac:dyDescent="0.3">
      <c r="A436" s="239"/>
      <c r="B436" s="48" t="s">
        <v>812</v>
      </c>
      <c r="C436" s="131"/>
      <c r="D436" s="37"/>
      <c r="E436" s="31" t="s">
        <v>572</v>
      </c>
      <c r="F436" s="34" t="str">
        <f>IF(ISNUMBER(E436),ROUND(E436*$D436,2),"")</f>
        <v/>
      </c>
      <c r="G436" s="45"/>
      <c r="H436" s="46"/>
      <c r="I436" s="157">
        <v>0</v>
      </c>
    </row>
    <row r="437" spans="1:9" ht="15.75" hidden="1" thickBot="1" x14ac:dyDescent="0.3">
      <c r="A437" s="241"/>
      <c r="B437" s="104"/>
      <c r="C437" s="80"/>
      <c r="D437" s="96"/>
      <c r="E437" s="67" t="s">
        <v>572</v>
      </c>
      <c r="F437" s="67" t="str">
        <f>IF(ISNUMBER(E437),ROUND(E437*$D437,2),"")</f>
        <v/>
      </c>
      <c r="G437" s="69"/>
      <c r="H437" s="31"/>
      <c r="I437" s="157">
        <v>0</v>
      </c>
    </row>
    <row r="438" spans="1:9" ht="15.75" thickBot="1" x14ac:dyDescent="0.3">
      <c r="A438" s="240" t="s">
        <v>3620</v>
      </c>
      <c r="B438" s="41" t="s">
        <v>572</v>
      </c>
      <c r="C438" s="26" t="s">
        <v>1374</v>
      </c>
      <c r="D438" s="94"/>
      <c r="E438" s="28" t="s">
        <v>572</v>
      </c>
      <c r="F438" s="28" t="str">
        <f>IF(ISNUMBER(E438),E438*$D438,"")</f>
        <v/>
      </c>
      <c r="G438" s="29"/>
      <c r="H438" s="30"/>
      <c r="I438" s="157">
        <v>4.4390400000000003</v>
      </c>
    </row>
    <row r="439" spans="1:9" x14ac:dyDescent="0.25">
      <c r="A439" s="239"/>
      <c r="B439" s="32" t="s">
        <v>572</v>
      </c>
      <c r="C439" s="32"/>
      <c r="D439" s="92"/>
      <c r="E439" s="31" t="s">
        <v>572</v>
      </c>
      <c r="F439" s="31" t="str">
        <f>IF(ISNUMBER(E439),E439*$D439,"")</f>
        <v/>
      </c>
      <c r="G439" s="35"/>
      <c r="H439" s="31"/>
      <c r="I439" s="157">
        <v>4.4390400000000003</v>
      </c>
    </row>
    <row r="440" spans="1:9" ht="51" x14ac:dyDescent="0.25">
      <c r="A440" s="239"/>
      <c r="B440" s="36" t="s">
        <v>3419</v>
      </c>
      <c r="C440" s="36" t="s">
        <v>1001</v>
      </c>
      <c r="D440" s="37">
        <v>0.1071</v>
      </c>
      <c r="E440" s="31">
        <v>160.83500000000001</v>
      </c>
      <c r="F440" s="34">
        <f>IF(ISNUMBER(E440),E440*$D440,"")</f>
        <v>17.2254285</v>
      </c>
      <c r="G440" s="45">
        <f>SUM(F440:F442)</f>
        <v>23.682860650000002</v>
      </c>
      <c r="H440" s="46"/>
      <c r="I440" s="157">
        <v>4.4390400000000003</v>
      </c>
    </row>
    <row r="441" spans="1:9" ht="51" x14ac:dyDescent="0.25">
      <c r="A441" s="239"/>
      <c r="B441" s="36" t="s">
        <v>3424</v>
      </c>
      <c r="C441" s="36" t="s">
        <v>1003</v>
      </c>
      <c r="D441" s="37">
        <v>4.5900000000000003E-2</v>
      </c>
      <c r="E441" s="34">
        <v>31.976999999999997</v>
      </c>
      <c r="F441" s="34">
        <f>IF(ISNUMBER(E441),E441*$D441,"")</f>
        <v>1.4677442999999999</v>
      </c>
      <c r="G441" s="45"/>
      <c r="H441" s="46"/>
      <c r="I441" s="157">
        <v>4.4390400000000003</v>
      </c>
    </row>
    <row r="442" spans="1:9" x14ac:dyDescent="0.25">
      <c r="A442" s="239"/>
      <c r="B442" s="36" t="s">
        <v>760</v>
      </c>
      <c r="C442" s="36" t="s">
        <v>759</v>
      </c>
      <c r="D442" s="37">
        <v>0.30590000000000001</v>
      </c>
      <c r="E442" s="31">
        <v>16.311500000000002</v>
      </c>
      <c r="F442" s="34">
        <f>IF(ISNUMBER(E442),E442*$D442,"")</f>
        <v>4.989687850000001</v>
      </c>
      <c r="G442" s="45"/>
      <c r="H442" s="46"/>
      <c r="I442" s="157">
        <v>4.4390400000000003</v>
      </c>
    </row>
    <row r="443" spans="1:9" ht="15.75" thickBot="1" x14ac:dyDescent="0.3">
      <c r="A443" s="239"/>
      <c r="B443" s="36"/>
      <c r="C443" s="36"/>
      <c r="D443" s="37"/>
      <c r="E443" s="31"/>
      <c r="F443" s="34"/>
      <c r="G443" s="45"/>
      <c r="H443" s="46"/>
      <c r="I443" s="157">
        <v>4.4390400000000003</v>
      </c>
    </row>
    <row r="444" spans="1:9" ht="15.75" thickBot="1" x14ac:dyDescent="0.3">
      <c r="A444" s="240" t="s">
        <v>3617</v>
      </c>
      <c r="B444" s="41" t="s">
        <v>572</v>
      </c>
      <c r="C444" s="26" t="s">
        <v>1537</v>
      </c>
      <c r="D444" s="94"/>
      <c r="E444" s="28" t="s">
        <v>572</v>
      </c>
      <c r="F444" s="28" t="str">
        <f>IF(ISNUMBER(E444),E444*$D444,"")</f>
        <v/>
      </c>
      <c r="G444" s="29"/>
      <c r="H444" s="30"/>
      <c r="I444" s="157">
        <v>140.83019999999999</v>
      </c>
    </row>
    <row r="445" spans="1:9" x14ac:dyDescent="0.25">
      <c r="A445" s="239"/>
      <c r="B445" s="32" t="s">
        <v>572</v>
      </c>
      <c r="C445" s="32"/>
      <c r="D445" s="92"/>
      <c r="E445" s="31" t="s">
        <v>572</v>
      </c>
      <c r="F445" s="31" t="str">
        <f>IF(ISNUMBER(E445),E445*$D445,"")</f>
        <v/>
      </c>
      <c r="G445" s="35"/>
      <c r="H445" s="31"/>
      <c r="I445" s="157">
        <v>140.83019999999999</v>
      </c>
    </row>
    <row r="446" spans="1:9" ht="51" x14ac:dyDescent="0.25">
      <c r="A446" s="239"/>
      <c r="B446" s="36" t="s">
        <v>3419</v>
      </c>
      <c r="C446" s="36" t="s">
        <v>1001</v>
      </c>
      <c r="D446" s="37">
        <v>9.2999999999999992E-3</v>
      </c>
      <c r="E446" s="31">
        <v>160.83500000000001</v>
      </c>
      <c r="F446" s="34">
        <f>IF(ISNUMBER(E446),E446*$D446,"")</f>
        <v>1.4957654999999999</v>
      </c>
      <c r="G446" s="45">
        <f>SUM(F446:F447)</f>
        <v>1.6236734999999998</v>
      </c>
      <c r="H446" s="46"/>
      <c r="I446" s="157">
        <v>140.83019999999999</v>
      </c>
    </row>
    <row r="447" spans="1:9" ht="51" x14ac:dyDescent="0.25">
      <c r="A447" s="239"/>
      <c r="B447" s="36" t="s">
        <v>3424</v>
      </c>
      <c r="C447" s="36" t="s">
        <v>1003</v>
      </c>
      <c r="D447" s="37">
        <v>4.0000000000000001E-3</v>
      </c>
      <c r="E447" s="34">
        <v>31.976999999999997</v>
      </c>
      <c r="F447" s="34">
        <f>IF(ISNUMBER(E447),E447*$D447,"")</f>
        <v>0.12790799999999999</v>
      </c>
      <c r="G447" s="45"/>
      <c r="H447" s="46"/>
      <c r="I447" s="157">
        <v>140.83019999999999</v>
      </c>
    </row>
    <row r="448" spans="1:9" ht="15.75" thickBot="1" x14ac:dyDescent="0.3">
      <c r="A448" s="239"/>
      <c r="B448" s="36"/>
      <c r="C448" s="36"/>
      <c r="D448" s="37"/>
      <c r="E448" s="31"/>
      <c r="F448" s="34"/>
      <c r="G448" s="45"/>
      <c r="H448" s="46"/>
      <c r="I448" s="157">
        <v>140.83019999999999</v>
      </c>
    </row>
    <row r="449" spans="1:9" ht="15.75" thickBot="1" x14ac:dyDescent="0.3">
      <c r="A449" s="240" t="s">
        <v>3618</v>
      </c>
      <c r="B449" s="41" t="s">
        <v>572</v>
      </c>
      <c r="C449" s="26" t="s">
        <v>1537</v>
      </c>
      <c r="D449" s="94"/>
      <c r="E449" s="28" t="s">
        <v>572</v>
      </c>
      <c r="F449" s="28" t="str">
        <f>IF(ISNUMBER(E449),E449*$D449,"")</f>
        <v/>
      </c>
      <c r="G449" s="29"/>
      <c r="H449" s="30"/>
      <c r="I449" s="157">
        <v>4694.34</v>
      </c>
    </row>
    <row r="450" spans="1:9" x14ac:dyDescent="0.25">
      <c r="A450" s="239"/>
      <c r="B450" s="32" t="s">
        <v>572</v>
      </c>
      <c r="C450" s="32"/>
      <c r="D450" s="92"/>
      <c r="E450" s="31" t="s">
        <v>572</v>
      </c>
      <c r="F450" s="31" t="str">
        <f>IF(ISNUMBER(E450),E450*$D450,"")</f>
        <v/>
      </c>
      <c r="G450" s="35"/>
      <c r="H450" s="31"/>
      <c r="I450" s="157">
        <v>4694.34</v>
      </c>
    </row>
    <row r="451" spans="1:9" ht="51" x14ac:dyDescent="0.25">
      <c r="A451" s="239"/>
      <c r="B451" s="36" t="s">
        <v>3419</v>
      </c>
      <c r="C451" s="36" t="s">
        <v>1001</v>
      </c>
      <c r="D451" s="37">
        <v>3.7000000000000002E-3</v>
      </c>
      <c r="E451" s="31">
        <v>160.83500000000001</v>
      </c>
      <c r="F451" s="34">
        <f>IF(ISNUMBER(E451),E451*$D451,"")</f>
        <v>0.59508950000000005</v>
      </c>
      <c r="G451" s="45">
        <f>SUM(F451:F452)</f>
        <v>0.64625270000000001</v>
      </c>
      <c r="H451" s="46"/>
      <c r="I451" s="157">
        <v>4694.34</v>
      </c>
    </row>
    <row r="452" spans="1:9" ht="51" x14ac:dyDescent="0.25">
      <c r="A452" s="239"/>
      <c r="B452" s="36" t="s">
        <v>3424</v>
      </c>
      <c r="C452" s="36" t="s">
        <v>1003</v>
      </c>
      <c r="D452" s="37">
        <v>1.6000000000000001E-3</v>
      </c>
      <c r="E452" s="34">
        <v>31.976999999999997</v>
      </c>
      <c r="F452" s="34">
        <f>IF(ISNUMBER(E452),E452*$D452,"")</f>
        <v>5.1163199999999999E-2</v>
      </c>
      <c r="G452" s="45"/>
      <c r="H452" s="46"/>
      <c r="I452" s="157">
        <v>4694.34</v>
      </c>
    </row>
    <row r="453" spans="1:9" ht="15.75" thickBot="1" x14ac:dyDescent="0.3">
      <c r="A453" s="239"/>
      <c r="B453" s="36"/>
      <c r="C453" s="36"/>
      <c r="D453" s="37"/>
      <c r="E453" s="31"/>
      <c r="F453" s="34"/>
      <c r="G453" s="45"/>
      <c r="H453" s="46"/>
      <c r="I453" s="157">
        <v>4694.34</v>
      </c>
    </row>
    <row r="454" spans="1:9" ht="15.75" thickBot="1" x14ac:dyDescent="0.3">
      <c r="A454" s="240" t="s">
        <v>3620</v>
      </c>
      <c r="B454" s="41" t="s">
        <v>572</v>
      </c>
      <c r="C454" s="26" t="s">
        <v>1374</v>
      </c>
      <c r="D454" s="94"/>
      <c r="E454" s="28" t="s">
        <v>572</v>
      </c>
      <c r="F454" s="28" t="str">
        <f>IF(ISNUMBER(E454),E454*$D454,"")</f>
        <v/>
      </c>
      <c r="G454" s="29"/>
      <c r="H454" s="30"/>
      <c r="I454" s="157">
        <v>0.25529999999999997</v>
      </c>
    </row>
    <row r="455" spans="1:9" x14ac:dyDescent="0.25">
      <c r="A455" s="239"/>
      <c r="B455" s="32" t="s">
        <v>572</v>
      </c>
      <c r="C455" s="32"/>
      <c r="D455" s="92"/>
      <c r="E455" s="31" t="s">
        <v>572</v>
      </c>
      <c r="F455" s="31" t="str">
        <f>IF(ISNUMBER(E455),E455*$D455,"")</f>
        <v/>
      </c>
      <c r="G455" s="35"/>
      <c r="H455" s="31"/>
      <c r="I455" s="157">
        <v>0.25529999999999997</v>
      </c>
    </row>
    <row r="456" spans="1:9" ht="51" x14ac:dyDescent="0.25">
      <c r="A456" s="239"/>
      <c r="B456" s="36" t="s">
        <v>3419</v>
      </c>
      <c r="C456" s="36" t="s">
        <v>1001</v>
      </c>
      <c r="D456" s="37">
        <v>8.1199999999999994E-2</v>
      </c>
      <c r="E456" s="31">
        <v>160.83500000000001</v>
      </c>
      <c r="F456" s="34">
        <f>IF(ISNUMBER(E456),E456*$D456,"")</f>
        <v>13.059801999999999</v>
      </c>
      <c r="G456" s="45">
        <f>SUM(F456:F458)</f>
        <v>17.958500749999999</v>
      </c>
      <c r="H456" s="46"/>
      <c r="I456" s="157">
        <v>0.25529999999999997</v>
      </c>
    </row>
    <row r="457" spans="1:9" ht="51" x14ac:dyDescent="0.25">
      <c r="A457" s="239"/>
      <c r="B457" s="36" t="s">
        <v>3424</v>
      </c>
      <c r="C457" s="36" t="s">
        <v>1003</v>
      </c>
      <c r="D457" s="37">
        <v>3.4799999999999998E-2</v>
      </c>
      <c r="E457" s="34">
        <v>31.976999999999997</v>
      </c>
      <c r="F457" s="34">
        <f>IF(ISNUMBER(E457),E457*$D457,"")</f>
        <v>1.1127995999999998</v>
      </c>
      <c r="G457" s="45"/>
      <c r="H457" s="46"/>
      <c r="I457" s="157">
        <v>0.25529999999999997</v>
      </c>
    </row>
    <row r="458" spans="1:9" x14ac:dyDescent="0.25">
      <c r="A458" s="239"/>
      <c r="B458" s="36" t="s">
        <v>760</v>
      </c>
      <c r="C458" s="36" t="s">
        <v>759</v>
      </c>
      <c r="D458" s="37">
        <v>0.2321</v>
      </c>
      <c r="E458" s="31">
        <v>16.311500000000002</v>
      </c>
      <c r="F458" s="34">
        <f>IF(ISNUMBER(E458),E458*$D458,"")</f>
        <v>3.7858991500000005</v>
      </c>
      <c r="G458" s="45"/>
      <c r="H458" s="46"/>
      <c r="I458" s="157">
        <v>0.25529999999999997</v>
      </c>
    </row>
    <row r="459" spans="1:9" x14ac:dyDescent="0.25">
      <c r="A459" s="239"/>
      <c r="B459" s="36"/>
      <c r="C459" s="36"/>
      <c r="D459" s="37"/>
      <c r="E459" s="31"/>
      <c r="F459" s="34"/>
      <c r="G459" s="45"/>
      <c r="H459" s="46"/>
      <c r="I459" s="157">
        <v>0.25529999999999997</v>
      </c>
    </row>
  </sheetData>
  <autoFilter ref="A5:I459">
    <filterColumn colId="8">
      <filters>
        <filter val="0,0051"/>
        <filter val="0,0076"/>
        <filter val="0,0163"/>
        <filter val="0,2553"/>
        <filter val="140,8302"/>
        <filter val="4,4390"/>
        <filter val="4.694,3400"/>
      </filters>
    </filterColumn>
  </autoFilter>
  <mergeCells count="54">
    <mergeCell ref="A393:A402"/>
    <mergeCell ref="A48:A60"/>
    <mergeCell ref="A6:A15"/>
    <mergeCell ref="A16:A20"/>
    <mergeCell ref="A21:A26"/>
    <mergeCell ref="A27:A37"/>
    <mergeCell ref="A38:A47"/>
    <mergeCell ref="A285:A295"/>
    <mergeCell ref="A296:A303"/>
    <mergeCell ref="A304:A309"/>
    <mergeCell ref="A225:A238"/>
    <mergeCell ref="A277:A284"/>
    <mergeCell ref="A61:A68"/>
    <mergeCell ref="A69:A78"/>
    <mergeCell ref="A79:A85"/>
    <mergeCell ref="A86:A95"/>
    <mergeCell ref="A130:A135"/>
    <mergeCell ref="A136:A141"/>
    <mergeCell ref="A142:A147"/>
    <mergeCell ref="A148:A153"/>
    <mergeCell ref="A96:A105"/>
    <mergeCell ref="A106:A111"/>
    <mergeCell ref="A112:A117"/>
    <mergeCell ref="A118:A123"/>
    <mergeCell ref="A124:A129"/>
    <mergeCell ref="A198:A202"/>
    <mergeCell ref="A203:A206"/>
    <mergeCell ref="A207:A214"/>
    <mergeCell ref="A154:A167"/>
    <mergeCell ref="A168:A179"/>
    <mergeCell ref="A192:A197"/>
    <mergeCell ref="A180:A185"/>
    <mergeCell ref="A186:A191"/>
    <mergeCell ref="A215:A219"/>
    <mergeCell ref="A220:A224"/>
    <mergeCell ref="A239:A252"/>
    <mergeCell ref="A253:A266"/>
    <mergeCell ref="A267:A276"/>
    <mergeCell ref="A438:A443"/>
    <mergeCell ref="A444:A448"/>
    <mergeCell ref="A449:A453"/>
    <mergeCell ref="A454:A459"/>
    <mergeCell ref="A310:A323"/>
    <mergeCell ref="A324:A337"/>
    <mergeCell ref="A338:A349"/>
    <mergeCell ref="A350:A356"/>
    <mergeCell ref="A357:A363"/>
    <mergeCell ref="A427:A437"/>
    <mergeCell ref="A415:A426"/>
    <mergeCell ref="A403:A414"/>
    <mergeCell ref="A364:A371"/>
    <mergeCell ref="A372:A377"/>
    <mergeCell ref="A378:A383"/>
    <mergeCell ref="A384:A392"/>
  </mergeCells>
  <conditionalFormatting sqref="F4">
    <cfRule type="containsText" dxfId="32" priority="179" operator="containsText" text="Pesquisa">
      <formula>NOT(ISERROR(SEARCH("Pesquisa",F4)))</formula>
    </cfRule>
  </conditionalFormatting>
  <conditionalFormatting sqref="C15:D15">
    <cfRule type="containsText" dxfId="31" priority="213" operator="containsText" text="Pesquisa de Preços">
      <formula>NOT(ISERROR(SEARCH("Pesquisa de Preços",C15)))</formula>
    </cfRule>
  </conditionalFormatting>
  <conditionalFormatting sqref="C7:D7">
    <cfRule type="containsText" dxfId="30" priority="212" operator="containsText" text="Pesquisa de Preços">
      <formula>NOT(ISERROR(SEARCH("Pesquisa de Preços",C7)))</formula>
    </cfRule>
  </conditionalFormatting>
  <conditionalFormatting sqref="C6:D6">
    <cfRule type="containsText" dxfId="29" priority="211" operator="containsText" text="Pesquisa de Preços">
      <formula>NOT(ISERROR(SEARCH("Pesquisa de Preços",C6)))</formula>
    </cfRule>
  </conditionalFormatting>
  <conditionalFormatting sqref="C8:D10">
    <cfRule type="containsText" dxfId="28" priority="210" operator="containsText" text="Pesquisa de Preços">
      <formula>NOT(ISERROR(SEARCH("Pesquisa de Preços",C8)))</formula>
    </cfRule>
  </conditionalFormatting>
  <conditionalFormatting sqref="C29:D36">
    <cfRule type="containsText" dxfId="27" priority="209" operator="containsText" text="Pesquisa de Preços">
      <formula>NOT(ISERROR(SEARCH("Pesquisa de Preços",C29)))</formula>
    </cfRule>
  </conditionalFormatting>
  <conditionalFormatting sqref="D27">
    <cfRule type="containsText" dxfId="26" priority="206" operator="containsText" text="Pesquisa de Preços">
      <formula>NOT(ISERROR(SEARCH("Pesquisa de Preços",D27)))</formula>
    </cfRule>
  </conditionalFormatting>
  <conditionalFormatting sqref="C37:D37">
    <cfRule type="containsText" dxfId="25" priority="208" operator="containsText" text="Pesquisa de Preços">
      <formula>NOT(ISERROR(SEARCH("Pesquisa de Preços",C37)))</formula>
    </cfRule>
  </conditionalFormatting>
  <conditionalFormatting sqref="C28:D28">
    <cfRule type="containsText" dxfId="24" priority="207" operator="containsText" text="Pesquisa de Preços">
      <formula>NOT(ISERROR(SEARCH("Pesquisa de Preços",C28)))</formula>
    </cfRule>
  </conditionalFormatting>
  <conditionalFormatting sqref="C27">
    <cfRule type="containsText" dxfId="23" priority="205" operator="containsText" text="Pesquisa de Preços">
      <formula>NOT(ISERROR(SEARCH("Pesquisa de Preços",C27)))</formula>
    </cfRule>
  </conditionalFormatting>
  <printOptions horizontalCentered="1"/>
  <pageMargins left="0.19685039370078741" right="0.19685039370078741" top="0.98425196850393704" bottom="0.59055118110236227" header="0.19685039370078741" footer="0.19685039370078741"/>
  <pageSetup paperSize="9" scale="67" fitToHeight="0" orientation="landscape" horizontalDpi="4294967295" verticalDpi="4294967295" r:id="rId1"/>
  <headerFooter>
    <oddHeader>&amp;C&amp;10&amp;G
Secretaria de Infraestrutura
Serviço de Orçamentos&amp;R&amp;10&amp;D</oddHeader>
    <oddFooter>&amp;C&amp;"Arial,Normal"&amp;8&amp;G
Senado Federal | Via N2 | Bloco 14 | CEP 70165-900 | Brasília-DF
Telefones: +55 (61) 3303-4760 / 4776 / 3470 | seorc@senado.leg.br&amp;R&amp;"Arial,Normal"&amp;8&amp;A
&amp;P / &amp;N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6" filterMode="1">
    <pageSetUpPr fitToPage="1"/>
  </sheetPr>
  <dimension ref="A1:I83"/>
  <sheetViews>
    <sheetView zoomScale="80" zoomScaleNormal="80" workbookViewId="0">
      <pane ySplit="5" topLeftCell="A6" activePane="bottomLeft" state="frozen"/>
      <selection pane="bottomLeft" activeCell="F3" sqref="F3"/>
    </sheetView>
  </sheetViews>
  <sheetFormatPr defaultRowHeight="15" x14ac:dyDescent="0.25"/>
  <cols>
    <col min="1" max="1" width="54" customWidth="1"/>
    <col min="2" max="2" width="65.7109375" style="5" customWidth="1"/>
    <col min="3" max="3" width="15.7109375" style="4" customWidth="1"/>
    <col min="4" max="4" width="20.7109375" customWidth="1"/>
    <col min="5" max="5" width="15.7109375" customWidth="1"/>
    <col min="6" max="6" width="17.7109375" customWidth="1"/>
    <col min="7" max="7" width="22.5703125" customWidth="1"/>
    <col min="8" max="8" width="5.7109375" customWidth="1"/>
    <col min="9" max="9" width="14.42578125" customWidth="1"/>
  </cols>
  <sheetData>
    <row r="1" spans="1:9" ht="24.95" customHeight="1" x14ac:dyDescent="0.25">
      <c r="A1" s="81" t="str">
        <f>Composições!A1</f>
        <v>Interligação da Central de Água Gelada (CAG) da Área Técnica 40 (AT40) com o Bloco 17 (BL17 – SAFIN/Serviço Médico)</v>
      </c>
      <c r="B1" s="105"/>
      <c r="C1" s="81"/>
      <c r="D1" s="81"/>
      <c r="E1" s="81"/>
      <c r="F1" s="81"/>
      <c r="G1" s="81"/>
      <c r="H1" s="82"/>
      <c r="I1" s="84"/>
    </row>
    <row r="2" spans="1:9" ht="24.95" customHeight="1" x14ac:dyDescent="0.25">
      <c r="A2" s="10" t="s">
        <v>1551</v>
      </c>
      <c r="B2" s="11"/>
      <c r="C2" s="132"/>
      <c r="D2" s="11"/>
      <c r="E2" s="11"/>
      <c r="F2" s="11"/>
      <c r="G2" s="11"/>
      <c r="H2" s="13"/>
      <c r="I2" s="84"/>
    </row>
    <row r="3" spans="1:9" ht="20.100000000000001" customHeight="1" x14ac:dyDescent="0.25">
      <c r="A3" s="14" t="str">
        <f>Composições!A3</f>
        <v>Data: Maio de 2021</v>
      </c>
      <c r="B3" s="14"/>
      <c r="C3" s="133"/>
      <c r="D3" s="14"/>
      <c r="E3" s="14"/>
      <c r="F3" s="14"/>
      <c r="G3" s="14"/>
      <c r="H3" s="14"/>
      <c r="I3" s="84"/>
    </row>
    <row r="4" spans="1:9" ht="20.100000000000001" customHeight="1" thickBot="1" x14ac:dyDescent="0.3">
      <c r="A4" s="85"/>
      <c r="B4" s="86"/>
      <c r="C4" s="129"/>
      <c r="D4" s="86"/>
      <c r="E4" s="86"/>
      <c r="F4" s="86"/>
      <c r="G4" s="86"/>
      <c r="H4" s="87"/>
      <c r="I4" s="88"/>
    </row>
    <row r="5" spans="1:9" ht="65.099999999999994" customHeight="1" thickBot="1" x14ac:dyDescent="0.3">
      <c r="A5" s="102" t="s">
        <v>2</v>
      </c>
      <c r="B5" s="103" t="s">
        <v>3</v>
      </c>
      <c r="C5" s="130" t="s">
        <v>4</v>
      </c>
      <c r="D5" s="103" t="s">
        <v>5</v>
      </c>
      <c r="E5" s="103" t="s">
        <v>6</v>
      </c>
      <c r="F5" s="21" t="s">
        <v>7</v>
      </c>
      <c r="G5" s="21" t="s">
        <v>1510</v>
      </c>
      <c r="H5" s="24"/>
      <c r="I5" s="89" t="s">
        <v>9</v>
      </c>
    </row>
    <row r="6" spans="1:9" ht="15.75" thickBot="1" x14ac:dyDescent="0.3">
      <c r="A6" s="240" t="s">
        <v>3616</v>
      </c>
      <c r="B6" s="41" t="s">
        <v>572</v>
      </c>
      <c r="C6" s="78" t="s">
        <v>126</v>
      </c>
      <c r="D6" s="94"/>
      <c r="E6" s="42" t="s">
        <v>572</v>
      </c>
      <c r="F6" s="42" t="str">
        <f t="shared" ref="F6:F19" si="0">IF(ISNUMBER(E6),ROUND(E6*$D6,2),"")</f>
        <v/>
      </c>
      <c r="G6" s="29"/>
      <c r="H6" s="30"/>
      <c r="I6" s="157">
        <v>0.70269859999999995</v>
      </c>
    </row>
    <row r="7" spans="1:9" x14ac:dyDescent="0.25">
      <c r="A7" s="239"/>
      <c r="B7" s="32" t="s">
        <v>572</v>
      </c>
      <c r="C7" s="79"/>
      <c r="D7" s="92"/>
      <c r="E7" s="43" t="s">
        <v>572</v>
      </c>
      <c r="F7" s="31" t="str">
        <f t="shared" si="0"/>
        <v/>
      </c>
      <c r="G7" s="35"/>
      <c r="H7" s="31"/>
      <c r="I7" s="157">
        <v>0.70269859999999995</v>
      </c>
    </row>
    <row r="8" spans="1:9" ht="51" x14ac:dyDescent="0.25">
      <c r="A8" s="239"/>
      <c r="B8" s="36" t="s">
        <v>1138</v>
      </c>
      <c r="C8" s="50" t="s">
        <v>1001</v>
      </c>
      <c r="D8" s="37">
        <v>1.3899999999999999E-2</v>
      </c>
      <c r="E8" s="34">
        <v>117.43899999999999</v>
      </c>
      <c r="F8" s="34">
        <f t="shared" si="0"/>
        <v>1.63</v>
      </c>
      <c r="G8" s="45">
        <f>SUM(F8:F9)</f>
        <v>1.8399999999999999</v>
      </c>
      <c r="H8" s="46"/>
      <c r="I8" s="157">
        <v>0.70269859999999995</v>
      </c>
    </row>
    <row r="9" spans="1:9" ht="51" x14ac:dyDescent="0.25">
      <c r="A9" s="239"/>
      <c r="B9" s="36" t="s">
        <v>1139</v>
      </c>
      <c r="C9" s="50" t="s">
        <v>1003</v>
      </c>
      <c r="D9" s="37">
        <v>6.0000000000000001E-3</v>
      </c>
      <c r="E9" s="34">
        <v>35.330499999999994</v>
      </c>
      <c r="F9" s="34">
        <f t="shared" si="0"/>
        <v>0.21</v>
      </c>
      <c r="G9" s="45"/>
      <c r="H9" s="46"/>
      <c r="I9" s="157">
        <v>0.70269859999999995</v>
      </c>
    </row>
    <row r="10" spans="1:9" ht="15.75" thickBot="1" x14ac:dyDescent="0.3">
      <c r="A10" s="241"/>
      <c r="B10" s="55" t="s">
        <v>572</v>
      </c>
      <c r="C10" s="80"/>
      <c r="D10" s="96"/>
      <c r="E10" s="67" t="s">
        <v>572</v>
      </c>
      <c r="F10" s="67" t="str">
        <f t="shared" si="0"/>
        <v/>
      </c>
      <c r="G10" s="69"/>
      <c r="H10" s="31"/>
      <c r="I10" s="157">
        <v>0.70269859999999995</v>
      </c>
    </row>
    <row r="11" spans="1:9" ht="15.75" hidden="1" thickBot="1" x14ac:dyDescent="0.3">
      <c r="A11" s="240" t="s">
        <v>1544</v>
      </c>
      <c r="B11" s="41" t="s">
        <v>572</v>
      </c>
      <c r="C11" s="78" t="s">
        <v>957</v>
      </c>
      <c r="D11" s="94"/>
      <c r="E11" s="28" t="s">
        <v>572</v>
      </c>
      <c r="F11" s="26" t="str">
        <f t="shared" si="0"/>
        <v/>
      </c>
      <c r="G11" s="29"/>
      <c r="H11" s="30"/>
      <c r="I11" s="157">
        <v>0</v>
      </c>
    </row>
    <row r="12" spans="1:9" ht="15.75" hidden="1" thickBot="1" x14ac:dyDescent="0.3">
      <c r="A12" s="239"/>
      <c r="B12" s="32" t="s">
        <v>572</v>
      </c>
      <c r="C12" s="79"/>
      <c r="D12" s="92"/>
      <c r="E12" s="31" t="s">
        <v>572</v>
      </c>
      <c r="F12" s="31" t="str">
        <f t="shared" si="0"/>
        <v/>
      </c>
      <c r="G12" s="35"/>
      <c r="H12" s="31"/>
      <c r="I12" s="157">
        <v>0</v>
      </c>
    </row>
    <row r="13" spans="1:9" ht="15.75" hidden="1" thickBot="1" x14ac:dyDescent="0.3">
      <c r="A13" s="239"/>
      <c r="B13" s="36" t="s">
        <v>1550</v>
      </c>
      <c r="C13" s="50" t="s">
        <v>957</v>
      </c>
      <c r="D13" s="37">
        <v>1.07</v>
      </c>
      <c r="E13" s="31">
        <v>8.5594999999999999</v>
      </c>
      <c r="F13" s="34">
        <f t="shared" si="0"/>
        <v>9.16</v>
      </c>
      <c r="G13" s="45">
        <f>SUM(F13:F15)</f>
        <v>11.43</v>
      </c>
      <c r="H13" s="46"/>
      <c r="I13" s="157">
        <v>0</v>
      </c>
    </row>
    <row r="14" spans="1:9" ht="15.75" hidden="1" thickBot="1" x14ac:dyDescent="0.3">
      <c r="A14" s="239"/>
      <c r="B14" s="36" t="s">
        <v>959</v>
      </c>
      <c r="C14" s="50" t="s">
        <v>759</v>
      </c>
      <c r="D14" s="37">
        <v>1.3100000000000001E-2</v>
      </c>
      <c r="E14" s="34">
        <v>17.081</v>
      </c>
      <c r="F14" s="34">
        <f t="shared" si="0"/>
        <v>0.22</v>
      </c>
      <c r="G14" s="45"/>
      <c r="H14" s="46"/>
      <c r="I14" s="157">
        <v>0</v>
      </c>
    </row>
    <row r="15" spans="1:9" ht="15.75" hidden="1" thickBot="1" x14ac:dyDescent="0.3">
      <c r="A15" s="239"/>
      <c r="B15" s="36" t="s">
        <v>960</v>
      </c>
      <c r="C15" s="50" t="s">
        <v>759</v>
      </c>
      <c r="D15" s="37">
        <v>9.3299999999999994E-2</v>
      </c>
      <c r="E15" s="31">
        <v>21.973499999999998</v>
      </c>
      <c r="F15" s="34">
        <f t="shared" si="0"/>
        <v>2.0499999999999998</v>
      </c>
      <c r="G15" s="45"/>
      <c r="H15" s="46"/>
      <c r="I15" s="157">
        <v>0</v>
      </c>
    </row>
    <row r="16" spans="1:9" ht="15.75" hidden="1" thickBot="1" x14ac:dyDescent="0.3">
      <c r="A16" s="241"/>
      <c r="B16" s="55" t="s">
        <v>572</v>
      </c>
      <c r="C16" s="80"/>
      <c r="D16" s="96"/>
      <c r="E16" s="67" t="s">
        <v>572</v>
      </c>
      <c r="F16" s="68" t="str">
        <f t="shared" si="0"/>
        <v/>
      </c>
      <c r="G16" s="69"/>
      <c r="H16" s="31"/>
      <c r="I16" s="157">
        <v>0</v>
      </c>
    </row>
    <row r="17" spans="1:9" ht="15.75" customHeight="1" thickBot="1" x14ac:dyDescent="0.3">
      <c r="A17" s="240" t="s">
        <v>3619</v>
      </c>
      <c r="B17" s="41" t="s">
        <v>572</v>
      </c>
      <c r="C17" s="78" t="s">
        <v>124</v>
      </c>
      <c r="D17" s="94"/>
      <c r="E17" s="28" t="s">
        <v>572</v>
      </c>
      <c r="F17" s="26" t="str">
        <f t="shared" si="0"/>
        <v/>
      </c>
      <c r="G17" s="29"/>
      <c r="H17" s="30"/>
      <c r="I17" s="157">
        <v>3.5134930000000002E-2</v>
      </c>
    </row>
    <row r="18" spans="1:9" x14ac:dyDescent="0.25">
      <c r="A18" s="239"/>
      <c r="B18" s="32" t="s">
        <v>572</v>
      </c>
      <c r="C18" s="79"/>
      <c r="D18" s="92"/>
      <c r="E18" s="31" t="s">
        <v>572</v>
      </c>
      <c r="F18" s="31" t="str">
        <f t="shared" si="0"/>
        <v/>
      </c>
      <c r="G18" s="35"/>
      <c r="H18" s="31"/>
      <c r="I18" s="157">
        <v>3.5134930000000002E-2</v>
      </c>
    </row>
    <row r="19" spans="1:9" ht="51" x14ac:dyDescent="0.25">
      <c r="A19" s="239"/>
      <c r="B19" s="36" t="s">
        <v>1162</v>
      </c>
      <c r="C19" s="50" t="s">
        <v>1001</v>
      </c>
      <c r="D19" s="37">
        <v>8.3000000000000001E-3</v>
      </c>
      <c r="E19" s="31">
        <v>132.98099999999999</v>
      </c>
      <c r="F19" s="34">
        <f t="shared" si="0"/>
        <v>1.1000000000000001</v>
      </c>
      <c r="G19" s="45">
        <f>SUM(F19:F22)</f>
        <v>5.6200163999999999</v>
      </c>
      <c r="H19" s="46"/>
      <c r="I19" s="157">
        <v>3.5134930000000002E-2</v>
      </c>
    </row>
    <row r="20" spans="1:9" ht="38.25" x14ac:dyDescent="0.25">
      <c r="A20" s="239"/>
      <c r="B20" s="36" t="s">
        <v>3425</v>
      </c>
      <c r="C20" s="47" t="s">
        <v>1003</v>
      </c>
      <c r="D20" s="37">
        <v>1.5100000000000001E-2</v>
      </c>
      <c r="E20" s="31">
        <v>44.184499999999993</v>
      </c>
      <c r="F20" s="34">
        <f>IF(ISNUMBER(E20),E20*$D20,"")</f>
        <v>0.66718594999999992</v>
      </c>
      <c r="G20" s="45"/>
      <c r="H20" s="46"/>
      <c r="I20" s="157">
        <v>3.5134930000000002E-2</v>
      </c>
    </row>
    <row r="21" spans="1:9" ht="51" x14ac:dyDescent="0.25">
      <c r="A21" s="239"/>
      <c r="B21" s="36" t="s">
        <v>1138</v>
      </c>
      <c r="C21" s="47" t="s">
        <v>1001</v>
      </c>
      <c r="D21" s="37">
        <v>2.6700000000000002E-2</v>
      </c>
      <c r="E21" s="31">
        <v>117.43899999999999</v>
      </c>
      <c r="F21" s="34">
        <f>IF(ISNUMBER(E21),E21*$D21,"")</f>
        <v>3.1356212999999999</v>
      </c>
      <c r="G21" s="45"/>
      <c r="H21" s="46"/>
      <c r="I21" s="157">
        <v>3.5134930000000002E-2</v>
      </c>
    </row>
    <row r="22" spans="1:9" ht="51" x14ac:dyDescent="0.25">
      <c r="A22" s="239"/>
      <c r="B22" s="36" t="s">
        <v>1139</v>
      </c>
      <c r="C22" s="47" t="s">
        <v>1003</v>
      </c>
      <c r="D22" s="37">
        <v>2.0299999999999999E-2</v>
      </c>
      <c r="E22" s="31">
        <v>35.330499999999994</v>
      </c>
      <c r="F22" s="34">
        <f>IF(ISNUMBER(E22),E22*$D22,"")</f>
        <v>0.71720914999999985</v>
      </c>
      <c r="G22" s="45"/>
      <c r="H22" s="46"/>
      <c r="I22" s="157">
        <v>3.5134930000000002E-2</v>
      </c>
    </row>
    <row r="23" spans="1:9" ht="15.75" thickBot="1" x14ac:dyDescent="0.3">
      <c r="A23" s="241"/>
      <c r="B23" s="55" t="s">
        <v>572</v>
      </c>
      <c r="C23" s="80"/>
      <c r="D23" s="96"/>
      <c r="E23" s="67" t="s">
        <v>572</v>
      </c>
      <c r="F23" s="68" t="str">
        <f t="shared" ref="F23:F30" si="1">IF(ISNUMBER(E23),ROUND(E23*$D23,2),"")</f>
        <v/>
      </c>
      <c r="G23" s="69"/>
      <c r="H23" s="31"/>
      <c r="I23" s="157">
        <v>3.5134930000000002E-2</v>
      </c>
    </row>
    <row r="24" spans="1:9" ht="15.75" hidden="1" thickBot="1" x14ac:dyDescent="0.3">
      <c r="A24" s="240" t="s">
        <v>1436</v>
      </c>
      <c r="B24" s="41" t="s">
        <v>572</v>
      </c>
      <c r="C24" s="78" t="s">
        <v>124</v>
      </c>
      <c r="D24" s="94"/>
      <c r="E24" s="42" t="s">
        <v>572</v>
      </c>
      <c r="F24" s="42" t="str">
        <f t="shared" si="1"/>
        <v/>
      </c>
      <c r="G24" s="29"/>
      <c r="H24" s="30"/>
      <c r="I24" s="157">
        <v>0</v>
      </c>
    </row>
    <row r="25" spans="1:9" hidden="1" x14ac:dyDescent="0.25">
      <c r="A25" s="239"/>
      <c r="B25" s="32" t="s">
        <v>572</v>
      </c>
      <c r="C25" s="79"/>
      <c r="D25" s="92"/>
      <c r="E25" s="98" t="s">
        <v>572</v>
      </c>
      <c r="F25" s="99" t="str">
        <f t="shared" si="1"/>
        <v/>
      </c>
      <c r="G25" s="35"/>
      <c r="H25" s="31"/>
      <c r="I25" s="157">
        <v>0</v>
      </c>
    </row>
    <row r="26" spans="1:9" hidden="1" x14ac:dyDescent="0.25">
      <c r="A26" s="239"/>
      <c r="B26" s="36" t="s">
        <v>117</v>
      </c>
      <c r="C26" s="50" t="s">
        <v>124</v>
      </c>
      <c r="D26" s="37">
        <v>1.36</v>
      </c>
      <c r="E26" s="34">
        <v>90.25</v>
      </c>
      <c r="F26" s="34">
        <f t="shared" si="1"/>
        <v>122.74</v>
      </c>
      <c r="G26" s="45">
        <f>SUM(F26:F36)</f>
        <v>481.29158740000003</v>
      </c>
      <c r="H26" s="46"/>
      <c r="I26" s="157">
        <v>0</v>
      </c>
    </row>
    <row r="27" spans="1:9" hidden="1" x14ac:dyDescent="0.25">
      <c r="A27" s="239"/>
      <c r="B27" s="36" t="s">
        <v>118</v>
      </c>
      <c r="C27" s="50" t="s">
        <v>957</v>
      </c>
      <c r="D27" s="37">
        <v>459.85</v>
      </c>
      <c r="E27" s="34">
        <v>0.47499999999999998</v>
      </c>
      <c r="F27" s="34">
        <f t="shared" si="1"/>
        <v>218.43</v>
      </c>
      <c r="G27" s="45"/>
      <c r="H27" s="46"/>
      <c r="I27" s="157">
        <v>0</v>
      </c>
    </row>
    <row r="28" spans="1:9" ht="25.5" hidden="1" x14ac:dyDescent="0.25">
      <c r="A28" s="239"/>
      <c r="B28" s="36" t="s">
        <v>120</v>
      </c>
      <c r="C28" s="50" t="s">
        <v>759</v>
      </c>
      <c r="D28" s="37">
        <v>4.8499999999999996</v>
      </c>
      <c r="E28" s="31">
        <v>16.5015</v>
      </c>
      <c r="F28" s="34">
        <f t="shared" si="1"/>
        <v>80.03</v>
      </c>
      <c r="G28" s="45"/>
      <c r="H28" s="46"/>
      <c r="I28" s="157">
        <v>0</v>
      </c>
    </row>
    <row r="29" spans="1:9" ht="38.25" hidden="1" x14ac:dyDescent="0.25">
      <c r="A29" s="239"/>
      <c r="B29" s="36" t="s">
        <v>1519</v>
      </c>
      <c r="C29" s="50" t="s">
        <v>1001</v>
      </c>
      <c r="D29" s="37">
        <v>1.1299999999999999</v>
      </c>
      <c r="E29" s="31">
        <v>1.2064999999999999</v>
      </c>
      <c r="F29" s="34">
        <f t="shared" si="1"/>
        <v>1.36</v>
      </c>
      <c r="G29" s="45"/>
      <c r="H29" s="46"/>
      <c r="I29" s="157">
        <v>0</v>
      </c>
    </row>
    <row r="30" spans="1:9" ht="38.25" hidden="1" x14ac:dyDescent="0.25">
      <c r="A30" s="239"/>
      <c r="B30" s="36" t="s">
        <v>1520</v>
      </c>
      <c r="C30" s="50" t="s">
        <v>1003</v>
      </c>
      <c r="D30" s="37">
        <v>3.72</v>
      </c>
      <c r="E30" s="31">
        <v>0.26600000000000001</v>
      </c>
      <c r="F30" s="34">
        <f t="shared" si="1"/>
        <v>0.99</v>
      </c>
      <c r="G30" s="45"/>
      <c r="H30" s="46"/>
      <c r="I30" s="157">
        <v>0</v>
      </c>
    </row>
    <row r="31" spans="1:9" ht="38.25" hidden="1" x14ac:dyDescent="0.25">
      <c r="A31" s="239"/>
      <c r="B31" s="36" t="s">
        <v>3420</v>
      </c>
      <c r="C31" s="36" t="s">
        <v>1001</v>
      </c>
      <c r="D31" s="37">
        <f>ROUND(0.0083*D26,4)</f>
        <v>1.1299999999999999E-2</v>
      </c>
      <c r="E31" s="31">
        <v>126.34050000000001</v>
      </c>
      <c r="F31" s="34">
        <f>IF(ISNUMBER(E31),E31*$D31,"")</f>
        <v>1.4276476499999999</v>
      </c>
      <c r="G31" s="45"/>
      <c r="H31" s="46"/>
      <c r="I31" s="157">
        <v>0</v>
      </c>
    </row>
    <row r="32" spans="1:9" ht="38.25" hidden="1" x14ac:dyDescent="0.25">
      <c r="A32" s="239"/>
      <c r="B32" s="36" t="s">
        <v>3425</v>
      </c>
      <c r="C32" s="47" t="s">
        <v>1003</v>
      </c>
      <c r="D32" s="37">
        <f>ROUND(0.0151*D26,4)</f>
        <v>2.0500000000000001E-2</v>
      </c>
      <c r="E32" s="31">
        <v>44.184499999999993</v>
      </c>
      <c r="F32" s="34">
        <f>IF(ISNUMBER(E32),E32*$D32,"")</f>
        <v>0.9057822499999999</v>
      </c>
      <c r="G32" s="45"/>
      <c r="H32" s="46"/>
      <c r="I32" s="157">
        <v>0</v>
      </c>
    </row>
    <row r="33" spans="1:9" ht="51" hidden="1" x14ac:dyDescent="0.25">
      <c r="A33" s="239"/>
      <c r="B33" s="36" t="s">
        <v>1138</v>
      </c>
      <c r="C33" s="47" t="s">
        <v>1001</v>
      </c>
      <c r="D33" s="37">
        <f>ROUND(0.0267*D26,4)</f>
        <v>3.6299999999999999E-2</v>
      </c>
      <c r="E33" s="31">
        <v>117.43899999999999</v>
      </c>
      <c r="F33" s="34">
        <f>IF(ISNUMBER(E33),E33*$D33,"")</f>
        <v>4.2630356999999997</v>
      </c>
      <c r="G33" s="45"/>
      <c r="H33" s="46"/>
      <c r="I33" s="157">
        <v>0</v>
      </c>
    </row>
    <row r="34" spans="1:9" ht="51" hidden="1" x14ac:dyDescent="0.25">
      <c r="A34" s="239"/>
      <c r="B34" s="36" t="s">
        <v>1139</v>
      </c>
      <c r="C34" s="47" t="s">
        <v>1003</v>
      </c>
      <c r="D34" s="37">
        <f>ROUND(0.0203*D26,4)</f>
        <v>2.76E-2</v>
      </c>
      <c r="E34" s="31">
        <v>35.330499999999994</v>
      </c>
      <c r="F34" s="34">
        <f>IF(ISNUMBER(E34),E34*$D34,"")</f>
        <v>0.97512179999999982</v>
      </c>
      <c r="G34" s="45"/>
      <c r="H34" s="46"/>
      <c r="I34" s="157">
        <v>0</v>
      </c>
    </row>
    <row r="35" spans="1:9" ht="51" hidden="1" x14ac:dyDescent="0.25">
      <c r="A35" s="239"/>
      <c r="B35" s="36" t="s">
        <v>1138</v>
      </c>
      <c r="C35" s="50" t="s">
        <v>1001</v>
      </c>
      <c r="D35" s="37">
        <f>ROUND(0.0139*20*D26,4)</f>
        <v>0.37809999999999999</v>
      </c>
      <c r="E35" s="34">
        <v>117.43899999999999</v>
      </c>
      <c r="F35" s="34">
        <f t="shared" ref="F35:F56" si="2">IF(ISNUMBER(E35),ROUND(E35*$D35,2),"")</f>
        <v>44.4</v>
      </c>
      <c r="G35" s="45"/>
      <c r="H35" s="46"/>
      <c r="I35" s="157">
        <v>0</v>
      </c>
    </row>
    <row r="36" spans="1:9" ht="51" hidden="1" x14ac:dyDescent="0.25">
      <c r="A36" s="239"/>
      <c r="B36" s="36" t="s">
        <v>1139</v>
      </c>
      <c r="C36" s="50" t="s">
        <v>1003</v>
      </c>
      <c r="D36" s="37">
        <f>ROUND(0.006*20*D26,4)</f>
        <v>0.16320000000000001</v>
      </c>
      <c r="E36" s="34">
        <v>35.330499999999994</v>
      </c>
      <c r="F36" s="34">
        <f t="shared" si="2"/>
        <v>5.77</v>
      </c>
      <c r="G36" s="45"/>
      <c r="H36" s="46"/>
      <c r="I36" s="157">
        <v>0</v>
      </c>
    </row>
    <row r="37" spans="1:9" hidden="1" x14ac:dyDescent="0.25">
      <c r="A37" s="239"/>
      <c r="B37" s="51"/>
      <c r="C37" s="131"/>
      <c r="D37" s="37"/>
      <c r="E37" s="31" t="s">
        <v>572</v>
      </c>
      <c r="F37" s="34" t="str">
        <f t="shared" si="2"/>
        <v/>
      </c>
      <c r="G37" s="45"/>
      <c r="H37" s="46"/>
      <c r="I37" s="157">
        <v>0</v>
      </c>
    </row>
    <row r="38" spans="1:9" hidden="1" x14ac:dyDescent="0.25">
      <c r="A38" s="239"/>
      <c r="B38" s="48" t="s">
        <v>812</v>
      </c>
      <c r="C38" s="131"/>
      <c r="D38" s="37"/>
      <c r="E38" s="31" t="s">
        <v>572</v>
      </c>
      <c r="F38" s="34" t="str">
        <f t="shared" si="2"/>
        <v/>
      </c>
      <c r="G38" s="45"/>
      <c r="H38" s="46"/>
      <c r="I38" s="157">
        <v>0</v>
      </c>
    </row>
    <row r="39" spans="1:9" ht="15.75" hidden="1" thickBot="1" x14ac:dyDescent="0.3">
      <c r="A39" s="241"/>
      <c r="B39" s="104" t="s">
        <v>3781</v>
      </c>
      <c r="C39" s="80"/>
      <c r="D39" s="96"/>
      <c r="E39" s="67" t="s">
        <v>572</v>
      </c>
      <c r="F39" s="67" t="str">
        <f t="shared" si="2"/>
        <v/>
      </c>
      <c r="G39" s="69"/>
      <c r="H39" s="31"/>
      <c r="I39" s="157">
        <v>0</v>
      </c>
    </row>
    <row r="40" spans="1:9" ht="15.75" hidden="1" thickBot="1" x14ac:dyDescent="0.3">
      <c r="A40" s="240" t="s">
        <v>3779</v>
      </c>
      <c r="B40" s="41" t="s">
        <v>572</v>
      </c>
      <c r="C40" s="78" t="s">
        <v>1053</v>
      </c>
      <c r="D40" s="94"/>
      <c r="E40" s="42" t="s">
        <v>572</v>
      </c>
      <c r="F40" s="42" t="str">
        <f t="shared" si="2"/>
        <v/>
      </c>
      <c r="G40" s="29"/>
      <c r="H40" s="30"/>
      <c r="I40" s="157">
        <v>0</v>
      </c>
    </row>
    <row r="41" spans="1:9" hidden="1" x14ac:dyDescent="0.25">
      <c r="A41" s="239"/>
      <c r="B41" s="32" t="s">
        <v>572</v>
      </c>
      <c r="C41" s="79"/>
      <c r="D41" s="92"/>
      <c r="E41" s="98" t="s">
        <v>572</v>
      </c>
      <c r="F41" s="99" t="str">
        <f t="shared" si="2"/>
        <v/>
      </c>
      <c r="G41" s="35"/>
      <c r="H41" s="31"/>
      <c r="I41" s="157">
        <v>0</v>
      </c>
    </row>
    <row r="42" spans="1:9" ht="25.5" hidden="1" x14ac:dyDescent="0.25">
      <c r="A42" s="239"/>
      <c r="B42" s="36" t="s">
        <v>3792</v>
      </c>
      <c r="C42" s="50" t="s">
        <v>527</v>
      </c>
      <c r="D42" s="37">
        <v>4.4320000000000004</v>
      </c>
      <c r="E42" s="34">
        <v>1.9854999999999998</v>
      </c>
      <c r="F42" s="34">
        <f t="shared" si="2"/>
        <v>8.8000000000000007</v>
      </c>
      <c r="G42" s="45">
        <f>SUM(F42:F48)</f>
        <v>170.6</v>
      </c>
      <c r="H42" s="46"/>
      <c r="I42" s="157">
        <v>0</v>
      </c>
    </row>
    <row r="43" spans="1:9" hidden="1" x14ac:dyDescent="0.25">
      <c r="A43" s="239"/>
      <c r="B43" s="36" t="s">
        <v>1459</v>
      </c>
      <c r="C43" s="50" t="s">
        <v>957</v>
      </c>
      <c r="D43" s="37">
        <v>8.5999999999999993E-2</v>
      </c>
      <c r="E43" s="34">
        <v>17.394499999999997</v>
      </c>
      <c r="F43" s="34">
        <f t="shared" si="2"/>
        <v>1.5</v>
      </c>
      <c r="G43" s="45"/>
      <c r="H43" s="46"/>
      <c r="I43" s="157">
        <v>0</v>
      </c>
    </row>
    <row r="44" spans="1:9" ht="25.5" hidden="1" x14ac:dyDescent="0.25">
      <c r="A44" s="239"/>
      <c r="B44" s="36" t="s">
        <v>100</v>
      </c>
      <c r="C44" s="50" t="s">
        <v>527</v>
      </c>
      <c r="D44" s="37">
        <v>6.53</v>
      </c>
      <c r="E44" s="31">
        <v>21.355999999999998</v>
      </c>
      <c r="F44" s="34">
        <f t="shared" si="2"/>
        <v>139.44999999999999</v>
      </c>
      <c r="G44" s="45"/>
      <c r="H44" s="46"/>
      <c r="I44" s="157">
        <v>0</v>
      </c>
    </row>
    <row r="45" spans="1:9" hidden="1" x14ac:dyDescent="0.25">
      <c r="A45" s="239"/>
      <c r="B45" s="36" t="s">
        <v>843</v>
      </c>
      <c r="C45" s="50" t="s">
        <v>759</v>
      </c>
      <c r="D45" s="37">
        <v>0.14299999999999999</v>
      </c>
      <c r="E45" s="31">
        <v>18.468</v>
      </c>
      <c r="F45" s="34">
        <f t="shared" si="2"/>
        <v>2.64</v>
      </c>
      <c r="G45" s="45"/>
      <c r="H45" s="46"/>
      <c r="I45" s="157">
        <v>0</v>
      </c>
    </row>
    <row r="46" spans="1:9" hidden="1" x14ac:dyDescent="0.25">
      <c r="A46" s="239"/>
      <c r="B46" s="36" t="s">
        <v>1054</v>
      </c>
      <c r="C46" s="50" t="s">
        <v>759</v>
      </c>
      <c r="D46" s="37">
        <v>0.71499999999999997</v>
      </c>
      <c r="E46" s="31">
        <v>21.878499999999999</v>
      </c>
      <c r="F46" s="34">
        <f t="shared" si="2"/>
        <v>15.64</v>
      </c>
      <c r="G46" s="45"/>
      <c r="H46" s="46"/>
      <c r="I46" s="157">
        <v>0</v>
      </c>
    </row>
    <row r="47" spans="1:9" ht="25.5" hidden="1" x14ac:dyDescent="0.25">
      <c r="A47" s="239"/>
      <c r="B47" s="36" t="s">
        <v>1226</v>
      </c>
      <c r="C47" s="50" t="s">
        <v>1001</v>
      </c>
      <c r="D47" s="37">
        <v>0.05</v>
      </c>
      <c r="E47" s="31">
        <v>19.180499999999999</v>
      </c>
      <c r="F47" s="34">
        <f t="shared" si="2"/>
        <v>0.96</v>
      </c>
      <c r="G47" s="45"/>
      <c r="H47" s="46"/>
      <c r="I47" s="157">
        <v>0</v>
      </c>
    </row>
    <row r="48" spans="1:9" ht="25.5" hidden="1" x14ac:dyDescent="0.25">
      <c r="A48" s="239"/>
      <c r="B48" s="36" t="s">
        <v>1227</v>
      </c>
      <c r="C48" s="50" t="s">
        <v>1003</v>
      </c>
      <c r="D48" s="37">
        <v>9.2999999999999999E-2</v>
      </c>
      <c r="E48" s="34">
        <v>17.327999999999999</v>
      </c>
      <c r="F48" s="34">
        <f t="shared" si="2"/>
        <v>1.61</v>
      </c>
      <c r="G48" s="45"/>
      <c r="H48" s="46"/>
      <c r="I48" s="157">
        <v>0</v>
      </c>
    </row>
    <row r="49" spans="1:9" ht="15.75" hidden="1" thickBot="1" x14ac:dyDescent="0.3">
      <c r="A49" s="241"/>
      <c r="B49" s="104"/>
      <c r="C49" s="80"/>
      <c r="D49" s="96"/>
      <c r="E49" s="67" t="s">
        <v>572</v>
      </c>
      <c r="F49" s="67" t="str">
        <f t="shared" si="2"/>
        <v/>
      </c>
      <c r="G49" s="69"/>
      <c r="H49" s="31"/>
      <c r="I49" s="157">
        <v>0</v>
      </c>
    </row>
    <row r="50" spans="1:9" ht="15.75" hidden="1" thickBot="1" x14ac:dyDescent="0.3">
      <c r="A50" s="240" t="s">
        <v>3432</v>
      </c>
      <c r="B50" s="41" t="s">
        <v>572</v>
      </c>
      <c r="C50" s="78" t="s">
        <v>124</v>
      </c>
      <c r="D50" s="94"/>
      <c r="E50" s="42" t="s">
        <v>572</v>
      </c>
      <c r="F50" s="42" t="str">
        <f t="shared" si="2"/>
        <v/>
      </c>
      <c r="G50" s="29"/>
      <c r="H50" s="30"/>
      <c r="I50" s="157">
        <v>0</v>
      </c>
    </row>
    <row r="51" spans="1:9" hidden="1" x14ac:dyDescent="0.25">
      <c r="A51" s="239"/>
      <c r="B51" s="32" t="s">
        <v>572</v>
      </c>
      <c r="C51" s="79"/>
      <c r="D51" s="92"/>
      <c r="E51" s="98" t="s">
        <v>572</v>
      </c>
      <c r="F51" s="99" t="str">
        <f t="shared" si="2"/>
        <v/>
      </c>
      <c r="G51" s="35"/>
      <c r="H51" s="31"/>
      <c r="I51" s="157">
        <v>0</v>
      </c>
    </row>
    <row r="52" spans="1:9" ht="25.5" hidden="1" x14ac:dyDescent="0.25">
      <c r="A52" s="239"/>
      <c r="B52" s="36" t="s">
        <v>1372</v>
      </c>
      <c r="C52" s="50" t="s">
        <v>124</v>
      </c>
      <c r="D52" s="37">
        <v>0.95</v>
      </c>
      <c r="E52" s="34">
        <v>112.63199999999999</v>
      </c>
      <c r="F52" s="34">
        <f t="shared" si="2"/>
        <v>107</v>
      </c>
      <c r="G52" s="45">
        <f>SUM(F52:F65)</f>
        <v>423.31475755000002</v>
      </c>
      <c r="H52" s="46"/>
      <c r="I52" s="157">
        <v>0</v>
      </c>
    </row>
    <row r="53" spans="1:9" hidden="1" x14ac:dyDescent="0.25">
      <c r="A53" s="239"/>
      <c r="B53" s="36" t="s">
        <v>805</v>
      </c>
      <c r="C53" s="50" t="s">
        <v>957</v>
      </c>
      <c r="D53" s="37">
        <v>426.49</v>
      </c>
      <c r="E53" s="34">
        <v>0.47499999999999998</v>
      </c>
      <c r="F53" s="34">
        <f t="shared" si="2"/>
        <v>202.58</v>
      </c>
      <c r="G53" s="45"/>
      <c r="H53" s="46"/>
      <c r="I53" s="157">
        <v>0</v>
      </c>
    </row>
    <row r="54" spans="1:9" ht="25.5" hidden="1" x14ac:dyDescent="0.25">
      <c r="A54" s="239"/>
      <c r="B54" s="36" t="s">
        <v>1538</v>
      </c>
      <c r="C54" s="50" t="s">
        <v>759</v>
      </c>
      <c r="D54" s="37">
        <v>4.32</v>
      </c>
      <c r="E54" s="31">
        <v>16.5015</v>
      </c>
      <c r="F54" s="34">
        <f t="shared" si="2"/>
        <v>71.290000000000006</v>
      </c>
      <c r="G54" s="45"/>
      <c r="H54" s="46"/>
      <c r="I54" s="157">
        <v>0</v>
      </c>
    </row>
    <row r="55" spans="1:9" ht="38.25" hidden="1" x14ac:dyDescent="0.25">
      <c r="A55" s="239"/>
      <c r="B55" s="36" t="s">
        <v>121</v>
      </c>
      <c r="C55" s="50" t="s">
        <v>1001</v>
      </c>
      <c r="D55" s="37">
        <v>1.01</v>
      </c>
      <c r="E55" s="31">
        <v>1.2064999999999999</v>
      </c>
      <c r="F55" s="34">
        <f t="shared" si="2"/>
        <v>1.22</v>
      </c>
      <c r="G55" s="45"/>
      <c r="H55" s="46"/>
      <c r="I55" s="157">
        <v>0</v>
      </c>
    </row>
    <row r="56" spans="1:9" ht="38.25" hidden="1" x14ac:dyDescent="0.25">
      <c r="A56" s="239"/>
      <c r="B56" s="36" t="s">
        <v>122</v>
      </c>
      <c r="C56" s="50" t="s">
        <v>1003</v>
      </c>
      <c r="D56" s="37">
        <v>3.31</v>
      </c>
      <c r="E56" s="31">
        <v>0.26600000000000001</v>
      </c>
      <c r="F56" s="34">
        <f t="shared" si="2"/>
        <v>0.88</v>
      </c>
      <c r="G56" s="45"/>
      <c r="H56" s="46"/>
      <c r="I56" s="157">
        <v>0</v>
      </c>
    </row>
    <row r="57" spans="1:9" ht="38.25" hidden="1" x14ac:dyDescent="0.25">
      <c r="A57" s="239"/>
      <c r="B57" s="36" t="s">
        <v>3420</v>
      </c>
      <c r="C57" s="36" t="s">
        <v>1001</v>
      </c>
      <c r="D57" s="37">
        <f>ROUND(0.0083*D52,4)</f>
        <v>7.9000000000000008E-3</v>
      </c>
      <c r="E57" s="31">
        <v>126.34050000000001</v>
      </c>
      <c r="F57" s="34">
        <f>IF(ISNUMBER(E57),E57*$D57,"")</f>
        <v>0.99808995000000011</v>
      </c>
      <c r="G57" s="45"/>
      <c r="H57" s="46"/>
      <c r="I57" s="157">
        <v>0</v>
      </c>
    </row>
    <row r="58" spans="1:9" ht="38.25" hidden="1" x14ac:dyDescent="0.25">
      <c r="A58" s="239"/>
      <c r="B58" s="36" t="s">
        <v>3425</v>
      </c>
      <c r="C58" s="47" t="s">
        <v>1003</v>
      </c>
      <c r="D58" s="37">
        <f>ROUND(0.0151*D52,4)</f>
        <v>1.43E-2</v>
      </c>
      <c r="E58" s="31">
        <v>44.184499999999993</v>
      </c>
      <c r="F58" s="34">
        <f>IF(ISNUMBER(E58),E58*$D58,"")</f>
        <v>0.63183834999999988</v>
      </c>
      <c r="G58" s="45"/>
      <c r="H58" s="46"/>
      <c r="I58" s="157">
        <v>0</v>
      </c>
    </row>
    <row r="59" spans="1:9" ht="51" hidden="1" x14ac:dyDescent="0.25">
      <c r="A59" s="239"/>
      <c r="B59" s="36" t="s">
        <v>1138</v>
      </c>
      <c r="C59" s="47" t="s">
        <v>1001</v>
      </c>
      <c r="D59" s="37">
        <f>ROUND(0.0267*D52,4)</f>
        <v>2.5399999999999999E-2</v>
      </c>
      <c r="E59" s="31">
        <v>117.43899999999999</v>
      </c>
      <c r="F59" s="34">
        <f>IF(ISNUMBER(E59),E59*$D59,"")</f>
        <v>2.9829505999999997</v>
      </c>
      <c r="G59" s="45"/>
      <c r="H59" s="46"/>
      <c r="I59" s="157">
        <v>0</v>
      </c>
    </row>
    <row r="60" spans="1:9" ht="51" hidden="1" x14ac:dyDescent="0.25">
      <c r="A60" s="239"/>
      <c r="B60" s="36" t="s">
        <v>1139</v>
      </c>
      <c r="C60" s="47" t="s">
        <v>1003</v>
      </c>
      <c r="D60" s="37">
        <f>ROUND(0.0203*D52,4)</f>
        <v>1.9300000000000001E-2</v>
      </c>
      <c r="E60" s="31">
        <v>35.330499999999994</v>
      </c>
      <c r="F60" s="34">
        <f>IF(ISNUMBER(E60),E60*$D60,"")</f>
        <v>0.68187864999999992</v>
      </c>
      <c r="G60" s="45"/>
      <c r="H60" s="46"/>
      <c r="I60" s="157">
        <v>0</v>
      </c>
    </row>
    <row r="61" spans="1:9" ht="51" hidden="1" x14ac:dyDescent="0.25">
      <c r="A61" s="239"/>
      <c r="B61" s="36" t="s">
        <v>1138</v>
      </c>
      <c r="C61" s="50" t="s">
        <v>1001</v>
      </c>
      <c r="D61" s="37">
        <f>ROUND(0.0139*20*D52,4)</f>
        <v>0.2641</v>
      </c>
      <c r="E61" s="34">
        <v>117.43899999999999</v>
      </c>
      <c r="F61" s="34">
        <f>IF(ISNUMBER(E61),ROUND(E61*$D61,2),"")</f>
        <v>31.02</v>
      </c>
      <c r="G61" s="45"/>
      <c r="H61" s="46"/>
      <c r="I61" s="157">
        <v>0</v>
      </c>
    </row>
    <row r="62" spans="1:9" ht="51" hidden="1" x14ac:dyDescent="0.25">
      <c r="A62" s="239"/>
      <c r="B62" s="36" t="s">
        <v>1139</v>
      </c>
      <c r="C62" s="50" t="s">
        <v>1003</v>
      </c>
      <c r="D62" s="37">
        <f>ROUND(0.006*20*D52,4)</f>
        <v>0.114</v>
      </c>
      <c r="E62" s="34">
        <v>35.330499999999994</v>
      </c>
      <c r="F62" s="34">
        <f>IF(ISNUMBER(E62),ROUND(E62*$D62,2),"")</f>
        <v>4.03</v>
      </c>
      <c r="G62" s="45"/>
      <c r="H62" s="46"/>
      <c r="I62" s="157">
        <v>0</v>
      </c>
    </row>
    <row r="63" spans="1:9" hidden="1" x14ac:dyDescent="0.25">
      <c r="A63" s="239"/>
      <c r="B63" s="51"/>
      <c r="C63" s="131"/>
      <c r="D63" s="37"/>
      <c r="E63" s="31" t="s">
        <v>572</v>
      </c>
      <c r="F63" s="34" t="str">
        <f t="shared" ref="F63:F65" si="3">IF(ISNUMBER(E63),ROUND(E63*$D63,2),"")</f>
        <v/>
      </c>
      <c r="G63" s="45"/>
      <c r="H63" s="46"/>
      <c r="I63" s="157">
        <v>0</v>
      </c>
    </row>
    <row r="64" spans="1:9" hidden="1" x14ac:dyDescent="0.25">
      <c r="A64" s="239"/>
      <c r="B64" s="48" t="s">
        <v>812</v>
      </c>
      <c r="C64" s="131"/>
      <c r="D64" s="37"/>
      <c r="E64" s="31" t="s">
        <v>572</v>
      </c>
      <c r="F64" s="34" t="str">
        <f t="shared" si="3"/>
        <v/>
      </c>
      <c r="G64" s="45"/>
      <c r="H64" s="46"/>
      <c r="I64" s="157">
        <v>0</v>
      </c>
    </row>
    <row r="65" spans="1:9" hidden="1" x14ac:dyDescent="0.25">
      <c r="A65" s="239"/>
      <c r="B65" s="158" t="s">
        <v>3781</v>
      </c>
      <c r="C65" s="159"/>
      <c r="D65" s="160"/>
      <c r="E65" s="31" t="s">
        <v>572</v>
      </c>
      <c r="F65" s="31" t="str">
        <f t="shared" si="3"/>
        <v/>
      </c>
      <c r="G65" s="45"/>
      <c r="H65" s="46"/>
      <c r="I65" s="157">
        <v>0</v>
      </c>
    </row>
    <row r="66" spans="1:9" ht="15.75" hidden="1" thickBot="1" x14ac:dyDescent="0.3">
      <c r="A66" s="241"/>
      <c r="B66" s="104"/>
      <c r="C66" s="80"/>
      <c r="D66" s="96"/>
      <c r="E66" s="67" t="s">
        <v>572</v>
      </c>
      <c r="F66" s="67" t="str">
        <f t="shared" ref="F66:F73" si="4">IF(ISNUMBER(E66),ROUND(E66*$D66,2),"")</f>
        <v/>
      </c>
      <c r="G66" s="69"/>
      <c r="H66" s="31"/>
      <c r="I66" s="157">
        <v>0</v>
      </c>
    </row>
    <row r="67" spans="1:9" ht="15.75" hidden="1" thickBot="1" x14ac:dyDescent="0.3">
      <c r="A67" s="240" t="s">
        <v>3432</v>
      </c>
      <c r="B67" s="41" t="s">
        <v>572</v>
      </c>
      <c r="C67" s="78" t="s">
        <v>124</v>
      </c>
      <c r="D67" s="94"/>
      <c r="E67" s="42" t="s">
        <v>572</v>
      </c>
      <c r="F67" s="42" t="str">
        <f t="shared" si="4"/>
        <v/>
      </c>
      <c r="G67" s="29"/>
      <c r="H67" s="30"/>
      <c r="I67" s="157">
        <v>0</v>
      </c>
    </row>
    <row r="68" spans="1:9" hidden="1" x14ac:dyDescent="0.25">
      <c r="A68" s="239"/>
      <c r="B68" s="32" t="s">
        <v>572</v>
      </c>
      <c r="C68" s="79"/>
      <c r="D68" s="92"/>
      <c r="E68" s="98" t="s">
        <v>572</v>
      </c>
      <c r="F68" s="99" t="str">
        <f t="shared" si="4"/>
        <v/>
      </c>
      <c r="G68" s="35"/>
      <c r="H68" s="31"/>
      <c r="I68" s="157">
        <v>0</v>
      </c>
    </row>
    <row r="69" spans="1:9" ht="25.5" hidden="1" x14ac:dyDescent="0.25">
      <c r="A69" s="239"/>
      <c r="B69" s="36" t="s">
        <v>809</v>
      </c>
      <c r="C69" s="50" t="s">
        <v>124</v>
      </c>
      <c r="D69" s="37">
        <v>1.1599999999999999</v>
      </c>
      <c r="E69" s="34">
        <v>90.25</v>
      </c>
      <c r="F69" s="34">
        <f t="shared" si="4"/>
        <v>104.69</v>
      </c>
      <c r="G69" s="45">
        <f>SUM(F69:F82)</f>
        <v>471.35697330000005</v>
      </c>
      <c r="H69" s="46"/>
      <c r="I69" s="157">
        <v>0</v>
      </c>
    </row>
    <row r="70" spans="1:9" hidden="1" x14ac:dyDescent="0.25">
      <c r="A70" s="239"/>
      <c r="B70" s="36" t="s">
        <v>1540</v>
      </c>
      <c r="C70" s="50" t="s">
        <v>957</v>
      </c>
      <c r="D70" s="37">
        <v>174.1</v>
      </c>
      <c r="E70" s="34">
        <v>0.85499999999999998</v>
      </c>
      <c r="F70" s="34">
        <f t="shared" si="4"/>
        <v>148.86000000000001</v>
      </c>
      <c r="G70" s="45"/>
      <c r="H70" s="46"/>
      <c r="I70" s="157">
        <v>0</v>
      </c>
    </row>
    <row r="71" spans="1:9" hidden="1" x14ac:dyDescent="0.25">
      <c r="A71" s="239"/>
      <c r="B71" s="36" t="s">
        <v>805</v>
      </c>
      <c r="C71" s="50" t="s">
        <v>957</v>
      </c>
      <c r="D71" s="37">
        <v>195.86</v>
      </c>
      <c r="E71" s="31">
        <v>0.47499999999999998</v>
      </c>
      <c r="F71" s="34">
        <f t="shared" si="4"/>
        <v>93.03</v>
      </c>
      <c r="G71" s="45"/>
      <c r="H71" s="46"/>
      <c r="I71" s="157">
        <v>0</v>
      </c>
    </row>
    <row r="72" spans="1:9" ht="25.5" hidden="1" x14ac:dyDescent="0.25">
      <c r="A72" s="239"/>
      <c r="B72" s="36" t="s">
        <v>1538</v>
      </c>
      <c r="C72" s="50" t="s">
        <v>759</v>
      </c>
      <c r="D72" s="37">
        <v>4.5</v>
      </c>
      <c r="E72" s="31">
        <v>16.5015</v>
      </c>
      <c r="F72" s="34">
        <f t="shared" si="4"/>
        <v>74.260000000000005</v>
      </c>
      <c r="G72" s="45"/>
      <c r="H72" s="46"/>
      <c r="I72" s="157">
        <v>0</v>
      </c>
    </row>
    <row r="73" spans="1:9" ht="38.25" hidden="1" x14ac:dyDescent="0.25">
      <c r="A73" s="239"/>
      <c r="B73" s="36" t="s">
        <v>121</v>
      </c>
      <c r="C73" s="50" t="s">
        <v>1001</v>
      </c>
      <c r="D73" s="37">
        <v>1.05</v>
      </c>
      <c r="E73" s="31">
        <v>1.2064999999999999</v>
      </c>
      <c r="F73" s="34">
        <f t="shared" si="4"/>
        <v>1.27</v>
      </c>
      <c r="G73" s="45"/>
      <c r="H73" s="46"/>
      <c r="I73" s="157">
        <v>0</v>
      </c>
    </row>
    <row r="74" spans="1:9" ht="38.25" hidden="1" x14ac:dyDescent="0.25">
      <c r="A74" s="239"/>
      <c r="B74" s="36" t="s">
        <v>3420</v>
      </c>
      <c r="C74" s="36" t="s">
        <v>1001</v>
      </c>
      <c r="D74" s="37">
        <f>ROUND(0.0083*D69,4)</f>
        <v>9.5999999999999992E-3</v>
      </c>
      <c r="E74" s="31">
        <v>126.34050000000001</v>
      </c>
      <c r="F74" s="34">
        <f>IF(ISNUMBER(E74),E74*$D74,"")</f>
        <v>1.2128687999999999</v>
      </c>
      <c r="G74" s="45"/>
      <c r="H74" s="46"/>
      <c r="I74" s="157">
        <v>0</v>
      </c>
    </row>
    <row r="75" spans="1:9" ht="38.25" hidden="1" x14ac:dyDescent="0.25">
      <c r="A75" s="239"/>
      <c r="B75" s="36" t="s">
        <v>3425</v>
      </c>
      <c r="C75" s="47" t="s">
        <v>1003</v>
      </c>
      <c r="D75" s="37">
        <f>ROUND(0.0151*D69,4)</f>
        <v>1.7500000000000002E-2</v>
      </c>
      <c r="E75" s="31">
        <v>44.184499999999993</v>
      </c>
      <c r="F75" s="34">
        <f>IF(ISNUMBER(E75),E75*$D75,"")</f>
        <v>0.77322874999999991</v>
      </c>
      <c r="G75" s="45"/>
      <c r="H75" s="46"/>
      <c r="I75" s="157">
        <v>0</v>
      </c>
    </row>
    <row r="76" spans="1:9" ht="51" hidden="1" x14ac:dyDescent="0.25">
      <c r="A76" s="239"/>
      <c r="B76" s="36" t="s">
        <v>1138</v>
      </c>
      <c r="C76" s="47" t="s">
        <v>1001</v>
      </c>
      <c r="D76" s="37">
        <f>ROUND(0.0267*D69,4)</f>
        <v>3.1E-2</v>
      </c>
      <c r="E76" s="31">
        <v>117.43899999999999</v>
      </c>
      <c r="F76" s="34">
        <f>IF(ISNUMBER(E76),E76*$D76,"")</f>
        <v>3.6406089999999995</v>
      </c>
      <c r="G76" s="45"/>
      <c r="H76" s="46"/>
      <c r="I76" s="157">
        <v>0</v>
      </c>
    </row>
    <row r="77" spans="1:9" ht="51" hidden="1" x14ac:dyDescent="0.25">
      <c r="A77" s="239"/>
      <c r="B77" s="36" t="s">
        <v>1139</v>
      </c>
      <c r="C77" s="47" t="s">
        <v>1003</v>
      </c>
      <c r="D77" s="37">
        <f>ROUND(0.0203*D69,4)</f>
        <v>2.35E-2</v>
      </c>
      <c r="E77" s="31">
        <v>35.330499999999994</v>
      </c>
      <c r="F77" s="34">
        <f>IF(ISNUMBER(E77),E77*$D77,"")</f>
        <v>0.83026674999999983</v>
      </c>
      <c r="G77" s="45"/>
      <c r="H77" s="46"/>
      <c r="I77" s="157">
        <v>0</v>
      </c>
    </row>
    <row r="78" spans="1:9" ht="51" hidden="1" x14ac:dyDescent="0.25">
      <c r="A78" s="239"/>
      <c r="B78" s="36" t="s">
        <v>1138</v>
      </c>
      <c r="C78" s="50" t="s">
        <v>1001</v>
      </c>
      <c r="D78" s="37">
        <f>ROUND(0.0139*20*D69,4)</f>
        <v>0.32250000000000001</v>
      </c>
      <c r="E78" s="34">
        <v>117.43899999999999</v>
      </c>
      <c r="F78" s="34">
        <f>IF(ISNUMBER(E78),ROUND(E78*$D78,2),"")</f>
        <v>37.869999999999997</v>
      </c>
      <c r="G78" s="45"/>
      <c r="H78" s="46"/>
      <c r="I78" s="157">
        <v>0</v>
      </c>
    </row>
    <row r="79" spans="1:9" ht="51" hidden="1" x14ac:dyDescent="0.25">
      <c r="A79" s="239"/>
      <c r="B79" s="36" t="s">
        <v>1139</v>
      </c>
      <c r="C79" s="50" t="s">
        <v>1003</v>
      </c>
      <c r="D79" s="37">
        <f>ROUND(0.006*20*D69,4)</f>
        <v>0.13919999999999999</v>
      </c>
      <c r="E79" s="34">
        <v>35.330499999999994</v>
      </c>
      <c r="F79" s="34">
        <f>IF(ISNUMBER(E79),ROUND(E79*$D79,2),"")</f>
        <v>4.92</v>
      </c>
      <c r="G79" s="45"/>
      <c r="H79" s="46"/>
      <c r="I79" s="157">
        <v>0</v>
      </c>
    </row>
    <row r="80" spans="1:9" hidden="1" x14ac:dyDescent="0.25">
      <c r="A80" s="239"/>
      <c r="B80" s="51"/>
      <c r="C80" s="131"/>
      <c r="D80" s="37"/>
      <c r="E80" s="31" t="s">
        <v>572</v>
      </c>
      <c r="F80" s="34" t="str">
        <f t="shared" ref="F80:F83" si="5">IF(ISNUMBER(E80),ROUND(E80*$D80,2),"")</f>
        <v/>
      </c>
      <c r="G80" s="45"/>
      <c r="H80" s="46"/>
      <c r="I80" s="157">
        <v>0</v>
      </c>
    </row>
    <row r="81" spans="1:9" hidden="1" x14ac:dyDescent="0.25">
      <c r="A81" s="239"/>
      <c r="B81" s="48" t="s">
        <v>812</v>
      </c>
      <c r="C81" s="131"/>
      <c r="D81" s="37"/>
      <c r="E81" s="31" t="s">
        <v>572</v>
      </c>
      <c r="F81" s="34" t="str">
        <f t="shared" si="5"/>
        <v/>
      </c>
      <c r="G81" s="45"/>
      <c r="H81" s="46"/>
      <c r="I81" s="157">
        <v>0</v>
      </c>
    </row>
    <row r="82" spans="1:9" hidden="1" x14ac:dyDescent="0.25">
      <c r="A82" s="239"/>
      <c r="B82" s="158" t="s">
        <v>3781</v>
      </c>
      <c r="C82" s="159"/>
      <c r="D82" s="160"/>
      <c r="E82" s="31" t="s">
        <v>572</v>
      </c>
      <c r="F82" s="31" t="str">
        <f t="shared" si="5"/>
        <v/>
      </c>
      <c r="G82" s="45"/>
      <c r="H82" s="46"/>
      <c r="I82" s="157">
        <v>0</v>
      </c>
    </row>
    <row r="83" spans="1:9" ht="15.75" hidden="1" thickBot="1" x14ac:dyDescent="0.3">
      <c r="A83" s="241"/>
      <c r="B83" s="104"/>
      <c r="C83" s="80"/>
      <c r="D83" s="96"/>
      <c r="E83" s="67" t="s">
        <v>572</v>
      </c>
      <c r="F83" s="67" t="str">
        <f t="shared" si="5"/>
        <v/>
      </c>
      <c r="G83" s="69"/>
      <c r="H83" s="31"/>
      <c r="I83" s="157">
        <v>0</v>
      </c>
    </row>
  </sheetData>
  <autoFilter ref="A5:I83">
    <filterColumn colId="8">
      <filters>
        <filter val="0,0351"/>
        <filter val="0,7027"/>
      </filters>
    </filterColumn>
  </autoFilter>
  <mergeCells count="7">
    <mergeCell ref="A50:A66"/>
    <mergeCell ref="A67:A83"/>
    <mergeCell ref="A6:A10"/>
    <mergeCell ref="A11:A16"/>
    <mergeCell ref="A17:A23"/>
    <mergeCell ref="A24:A39"/>
    <mergeCell ref="A40:A49"/>
  </mergeCells>
  <conditionalFormatting sqref="F4">
    <cfRule type="containsText" dxfId="22" priority="94" operator="containsText" text="Pesquisa">
      <formula>NOT(ISERROR(SEARCH("Pesquisa",F4)))</formula>
    </cfRule>
  </conditionalFormatting>
  <printOptions horizontalCentered="1"/>
  <pageMargins left="0.19685039370078741" right="0.19685039370078741" top="0.98425196850393704" bottom="0.59055118110236227" header="0.19685039370078741" footer="0.19685039370078741"/>
  <pageSetup paperSize="9" scale="45" fitToHeight="0" orientation="landscape" horizontalDpi="4294967295" verticalDpi="4294967295" r:id="rId1"/>
  <headerFooter>
    <oddHeader>&amp;C&amp;10&amp;G
Secretaria de Infraestrutura
Serviço de Orçamentos&amp;R&amp;10&amp;D</oddHeader>
    <oddFooter>&amp;C&amp;"Arial,Normal"&amp;8&amp;G
Senado Federal | Via N2 | Bloco 14 | CEP 70165-900 | Brasília-DF
Telefones: +55 (61) 3303-4760 / 4776 / 3470 | seorc@senado.leg.br&amp;R&amp;"Arial,Normal"&amp;8&amp;A
&amp;P / &amp;N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7" filterMode="1">
    <pageSetUpPr fitToPage="1"/>
  </sheetPr>
  <dimension ref="A1:L1361"/>
  <sheetViews>
    <sheetView tabSelected="1" zoomScale="80" zoomScaleNormal="80" workbookViewId="0">
      <pane ySplit="5" topLeftCell="A6" activePane="bottomLeft" state="frozen"/>
      <selection pane="bottomLeft"/>
    </sheetView>
  </sheetViews>
  <sheetFormatPr defaultRowHeight="15" x14ac:dyDescent="0.25"/>
  <cols>
    <col min="1" max="1" width="14.7109375" customWidth="1"/>
    <col min="2" max="2" width="80.7109375" style="5" customWidth="1"/>
    <col min="3" max="4" width="15.7109375" customWidth="1"/>
    <col min="5" max="6" width="20.7109375" customWidth="1"/>
    <col min="7" max="7" width="15.7109375" customWidth="1"/>
    <col min="8" max="9" width="20.7109375" customWidth="1"/>
    <col min="11" max="11" width="14.28515625" bestFit="1" customWidth="1"/>
  </cols>
  <sheetData>
    <row r="1" spans="1:11" ht="24.95" customHeight="1" x14ac:dyDescent="0.25">
      <c r="A1" s="106" t="s">
        <v>3834</v>
      </c>
      <c r="B1" s="124"/>
      <c r="C1" s="106"/>
      <c r="D1" s="106"/>
      <c r="E1" s="106"/>
      <c r="F1" s="106"/>
      <c r="G1" s="106"/>
      <c r="H1" s="106"/>
      <c r="I1" s="106"/>
    </row>
    <row r="2" spans="1:11" ht="24.95" customHeight="1" x14ac:dyDescent="0.25">
      <c r="A2" s="107" t="s">
        <v>1552</v>
      </c>
      <c r="B2" s="125"/>
      <c r="C2" s="107"/>
      <c r="D2" s="107"/>
      <c r="E2" s="107"/>
      <c r="F2" s="107"/>
      <c r="G2" s="107"/>
      <c r="H2" s="107"/>
      <c r="I2" s="107"/>
    </row>
    <row r="3" spans="1:11" ht="20.100000000000001" customHeight="1" x14ac:dyDescent="0.25">
      <c r="A3" s="108" t="s">
        <v>3836</v>
      </c>
      <c r="B3" s="108"/>
      <c r="C3" s="108"/>
      <c r="D3" s="108"/>
      <c r="E3" s="108"/>
      <c r="F3" s="108"/>
      <c r="G3" s="108"/>
      <c r="H3" s="108"/>
      <c r="I3" s="108"/>
    </row>
    <row r="4" spans="1:11" ht="18" customHeight="1" thickBot="1" x14ac:dyDescent="0.3">
      <c r="A4" s="109"/>
      <c r="B4" s="110"/>
      <c r="C4" s="111"/>
      <c r="D4" s="111"/>
      <c r="E4" s="112"/>
      <c r="F4" s="112"/>
      <c r="G4" s="110"/>
      <c r="H4" s="110"/>
      <c r="I4" s="113"/>
    </row>
    <row r="5" spans="1:11" ht="45" customHeight="1" x14ac:dyDescent="0.25">
      <c r="A5" s="183" t="s">
        <v>1</v>
      </c>
      <c r="B5" s="184" t="s">
        <v>2</v>
      </c>
      <c r="C5" s="184" t="s">
        <v>4</v>
      </c>
      <c r="D5" s="185" t="s">
        <v>1553</v>
      </c>
      <c r="E5" s="186" t="s">
        <v>6</v>
      </c>
      <c r="F5" s="186" t="s">
        <v>3416</v>
      </c>
      <c r="G5" s="186" t="s">
        <v>1555</v>
      </c>
      <c r="H5" s="186" t="s">
        <v>1556</v>
      </c>
      <c r="I5" s="186" t="s">
        <v>3808</v>
      </c>
    </row>
    <row r="6" spans="1:11" hidden="1" x14ac:dyDescent="0.25">
      <c r="A6" s="114" t="s">
        <v>10</v>
      </c>
      <c r="B6" s="115" t="s">
        <v>1557</v>
      </c>
      <c r="C6" s="116" t="s">
        <v>1558</v>
      </c>
      <c r="D6" s="116">
        <v>0</v>
      </c>
      <c r="E6" s="136">
        <f ca="1">OFFSET(INDEX(Composições!A:J,MATCH(Orçamentária!A6,Composições!A:A,0),8),2,0)</f>
        <v>88.283500000000004</v>
      </c>
      <c r="F6" s="137">
        <f ca="1">IF(ISNUMBER(E6),D6*E6,"")</f>
        <v>0</v>
      </c>
      <c r="G6" s="138" t="e">
        <f>IF(A6&lt;&gt;"",IF(AND(#REF!="Padrão",$H$4=#REF!),BDI!$B$17,IF(AND(#REF!="Padrão",$H$4=#REF!),BDI!#REF!,IF(AND(#REF!="Diferenciado",$H$4=#REF!),BDI!$E$17,IF(AND(#REF!="Diferenciado",$H$4=#REF!),BDI!#REF!,IF(#REF!="ZERO",0))))),"")</f>
        <v>#REF!</v>
      </c>
      <c r="H6" s="139" t="e">
        <f ca="1">IF(ISNUMBER(E6),ROUND(E6*(1+G6),2),"")</f>
        <v>#REF!</v>
      </c>
      <c r="I6" s="137" t="e">
        <f ca="1">IF(ISNUMBER(E6),ROUND(H6*D6,2),"")</f>
        <v>#REF!</v>
      </c>
    </row>
    <row r="7" spans="1:11" hidden="1" x14ac:dyDescent="0.25">
      <c r="A7" s="114" t="s">
        <v>13</v>
      </c>
      <c r="B7" s="115" t="s">
        <v>1559</v>
      </c>
      <c r="C7" s="116" t="s">
        <v>1558</v>
      </c>
      <c r="D7" s="116">
        <v>0</v>
      </c>
      <c r="E7" s="136">
        <f ca="1">OFFSET(INDEX(Composições!A:J,MATCH(Orçamentária!A7,Composições!A:A,0),8),2,0)</f>
        <v>26.248499999999996</v>
      </c>
      <c r="F7" s="137">
        <f t="shared" ref="F7:F70" ca="1" si="0">IF(ISNUMBER(E7),D7*E7,"")</f>
        <v>0</v>
      </c>
      <c r="G7" s="138" t="e">
        <f>IF(A7&lt;&gt;"",IF(AND(#REF!="Padrão",$H$4=#REF!),BDI!$B$17,IF(AND(#REF!="Padrão",$H$4=#REF!),BDI!#REF!,IF(AND(#REF!="Diferenciado",$H$4=#REF!),BDI!$E$17,IF(AND(#REF!="Diferenciado",$H$4=#REF!),BDI!#REF!,IF(#REF!="ZERO",0))))),"")</f>
        <v>#REF!</v>
      </c>
      <c r="H7" s="139" t="e">
        <f t="shared" ref="H7:H70" ca="1" si="1">IF(ISNUMBER(E7),ROUND(E7*(1+G7),2),"")</f>
        <v>#REF!</v>
      </c>
      <c r="I7" s="137" t="e">
        <f t="shared" ref="I7:I70" ca="1" si="2">IF(ISNUMBER(E7),ROUND(H7*D7,2),"")</f>
        <v>#REF!</v>
      </c>
    </row>
    <row r="8" spans="1:11" hidden="1" x14ac:dyDescent="0.25">
      <c r="A8" s="114" t="s">
        <v>15</v>
      </c>
      <c r="B8" s="115" t="s">
        <v>1560</v>
      </c>
      <c r="C8" s="116" t="s">
        <v>20</v>
      </c>
      <c r="D8" s="116">
        <v>0</v>
      </c>
      <c r="E8" s="136">
        <f ca="1">OFFSET(INDEX(Composições!A:J,MATCH(Orçamentária!A8,Composições!A:A,0),8),2,0)</f>
        <v>1605.2719999999999</v>
      </c>
      <c r="F8" s="137">
        <f t="shared" ca="1" si="0"/>
        <v>0</v>
      </c>
      <c r="G8" s="138" t="e">
        <f>IF(A8&lt;&gt;"",IF(AND(#REF!="Padrão",$H$4=#REF!),BDI!$B$17,IF(AND(#REF!="Padrão",$H$4=#REF!),BDI!#REF!,IF(AND(#REF!="Diferenciado",$H$4=#REF!),BDI!$E$17,IF(AND(#REF!="Diferenciado",$H$4=#REF!),BDI!#REF!,IF(#REF!="ZERO",0))))),"")</f>
        <v>#REF!</v>
      </c>
      <c r="H8" s="139" t="e">
        <f t="shared" ca="1" si="1"/>
        <v>#REF!</v>
      </c>
      <c r="I8" s="137" t="e">
        <f t="shared" ca="1" si="2"/>
        <v>#REF!</v>
      </c>
    </row>
    <row r="9" spans="1:11" hidden="1" x14ac:dyDescent="0.25">
      <c r="A9" s="114" t="s">
        <v>17</v>
      </c>
      <c r="B9" s="115" t="s">
        <v>1561</v>
      </c>
      <c r="C9" s="116" t="s">
        <v>20</v>
      </c>
      <c r="D9" s="116">
        <v>0</v>
      </c>
      <c r="E9" s="136">
        <f ca="1">OFFSET(INDEX(Composições!A:J,MATCH(Orçamentária!A9,Composições!A:A,0),8),2,0)</f>
        <v>2013.0500000000002</v>
      </c>
      <c r="F9" s="137">
        <f t="shared" ca="1" si="0"/>
        <v>0</v>
      </c>
      <c r="G9" s="138" t="e">
        <f>IF(A9&lt;&gt;"",IF(AND(#REF!="Padrão",$H$4=#REF!),BDI!$B$17,IF(AND(#REF!="Padrão",$H$4=#REF!),BDI!#REF!,IF(AND(#REF!="Diferenciado",$H$4=#REF!),BDI!$E$17,IF(AND(#REF!="Diferenciado",$H$4=#REF!),BDI!#REF!,IF(#REF!="ZERO",0))))),"")</f>
        <v>#REF!</v>
      </c>
      <c r="H9" s="139" t="e">
        <f t="shared" ca="1" si="1"/>
        <v>#REF!</v>
      </c>
      <c r="I9" s="137" t="e">
        <f t="shared" ca="1" si="2"/>
        <v>#REF!</v>
      </c>
    </row>
    <row r="10" spans="1:11" x14ac:dyDescent="0.25">
      <c r="A10" s="187" t="s">
        <v>21</v>
      </c>
      <c r="B10" s="188" t="s">
        <v>1562</v>
      </c>
      <c r="C10" s="189" t="s">
        <v>112</v>
      </c>
      <c r="D10" s="189">
        <v>2.0000000000000004E-2</v>
      </c>
      <c r="E10" s="136">
        <f ca="1">OFFSET(INDEX(Composições!A:J,MATCH(Orçamentária!A10,Composições!A:A,0),8),2,0)</f>
        <v>42.890662700000007</v>
      </c>
      <c r="F10" s="137">
        <f t="shared" ca="1" si="0"/>
        <v>0.8578132540000003</v>
      </c>
      <c r="G10" s="138">
        <f>BDI!$B$17</f>
        <v>0.191</v>
      </c>
      <c r="H10" s="139">
        <f t="shared" ca="1" si="1"/>
        <v>51.08</v>
      </c>
      <c r="I10" s="137">
        <f t="shared" ca="1" si="2"/>
        <v>1.02</v>
      </c>
      <c r="K10" s="182"/>
    </row>
    <row r="11" spans="1:11" hidden="1" x14ac:dyDescent="0.25">
      <c r="A11" s="114" t="s">
        <v>24</v>
      </c>
      <c r="B11" s="115" t="s">
        <v>1563</v>
      </c>
      <c r="C11" s="116" t="s">
        <v>112</v>
      </c>
      <c r="D11" s="116">
        <v>0</v>
      </c>
      <c r="E11" s="136">
        <f ca="1">OFFSET(INDEX(Composições!A:J,MATCH(Orçamentária!A11,Composições!A:A,0),8),2,0)</f>
        <v>240.76325000000003</v>
      </c>
      <c r="F11" s="137">
        <f t="shared" ca="1" si="0"/>
        <v>0</v>
      </c>
      <c r="G11" s="138" t="e">
        <f>IF(A11&lt;&gt;"",IF(AND(#REF!="Padrão",$H$4=#REF!),BDI!$B$17,IF(AND(#REF!="Padrão",$H$4=#REF!),BDI!#REF!,IF(AND(#REF!="Diferenciado",$H$4=#REF!),BDI!$E$17,IF(AND(#REF!="Diferenciado",$H$4=#REF!),BDI!#REF!,IF(#REF!="ZERO",0))))),"")</f>
        <v>#REF!</v>
      </c>
      <c r="H11" s="139" t="e">
        <f t="shared" ca="1" si="1"/>
        <v>#REF!</v>
      </c>
      <c r="I11" s="137" t="e">
        <f t="shared" ca="1" si="2"/>
        <v>#REF!</v>
      </c>
    </row>
    <row r="12" spans="1:11" hidden="1" x14ac:dyDescent="0.25">
      <c r="A12" s="114" t="s">
        <v>25</v>
      </c>
      <c r="B12" s="115" t="s">
        <v>1564</v>
      </c>
      <c r="C12" s="116" t="s">
        <v>96</v>
      </c>
      <c r="D12" s="116">
        <v>0</v>
      </c>
      <c r="E12" s="136">
        <f ca="1">OFFSET(INDEX(Composições!A:J,MATCH(Orçamentária!A12,Composições!A:A,0),8),2,0)</f>
        <v>11.418050000000001</v>
      </c>
      <c r="F12" s="137">
        <f t="shared" ca="1" si="0"/>
        <v>0</v>
      </c>
      <c r="G12" s="138" t="e">
        <f>IF(A12&lt;&gt;"",IF(AND(#REF!="Padrão",$H$4=#REF!),BDI!$B$17,IF(AND(#REF!="Padrão",$H$4=#REF!),BDI!#REF!,IF(AND(#REF!="Diferenciado",$H$4=#REF!),BDI!$E$17,IF(AND(#REF!="Diferenciado",$H$4=#REF!),BDI!#REF!,IF(#REF!="ZERO",0))))),"")</f>
        <v>#REF!</v>
      </c>
      <c r="H12" s="139" t="e">
        <f t="shared" ca="1" si="1"/>
        <v>#REF!</v>
      </c>
      <c r="I12" s="137" t="e">
        <f t="shared" ca="1" si="2"/>
        <v>#REF!</v>
      </c>
    </row>
    <row r="13" spans="1:11" hidden="1" x14ac:dyDescent="0.25">
      <c r="A13" s="114" t="s">
        <v>26</v>
      </c>
      <c r="B13" s="115" t="s">
        <v>1565</v>
      </c>
      <c r="C13" s="116" t="s">
        <v>96</v>
      </c>
      <c r="D13" s="116">
        <v>0</v>
      </c>
      <c r="E13" s="136">
        <f ca="1">OFFSET(INDEX(Composições!A:J,MATCH(Orçamentária!A13,Composições!A:A,0),8),2,0)</f>
        <v>5.79771415</v>
      </c>
      <c r="F13" s="137">
        <f t="shared" ca="1" si="0"/>
        <v>0</v>
      </c>
      <c r="G13" s="138" t="e">
        <f>IF(A13&lt;&gt;"",IF(AND(#REF!="Padrão",$H$4=#REF!),BDI!$B$17,IF(AND(#REF!="Padrão",$H$4=#REF!),BDI!#REF!,IF(AND(#REF!="Diferenciado",$H$4=#REF!),BDI!$E$17,IF(AND(#REF!="Diferenciado",$H$4=#REF!),BDI!#REF!,IF(#REF!="ZERO",0))))),"")</f>
        <v>#REF!</v>
      </c>
      <c r="H13" s="139" t="e">
        <f t="shared" ca="1" si="1"/>
        <v>#REF!</v>
      </c>
      <c r="I13" s="137" t="e">
        <f t="shared" ca="1" si="2"/>
        <v>#REF!</v>
      </c>
    </row>
    <row r="14" spans="1:11" hidden="1" x14ac:dyDescent="0.25">
      <c r="A14" s="114" t="s">
        <v>28</v>
      </c>
      <c r="B14" s="115" t="s">
        <v>1566</v>
      </c>
      <c r="C14" s="116" t="s">
        <v>96</v>
      </c>
      <c r="D14" s="116">
        <v>0</v>
      </c>
      <c r="E14" s="136">
        <f ca="1">OFFSET(INDEX(Composições!A:J,MATCH(Orçamentária!A14,Composições!A:A,0),8),2,0)</f>
        <v>1.26180045</v>
      </c>
      <c r="F14" s="137">
        <f t="shared" ca="1" si="0"/>
        <v>0</v>
      </c>
      <c r="G14" s="138" t="e">
        <f>IF(A14&lt;&gt;"",IF(AND(#REF!="Padrão",$H$4=#REF!),BDI!$B$17,IF(AND(#REF!="Padrão",$H$4=#REF!),BDI!#REF!,IF(AND(#REF!="Diferenciado",$H$4=#REF!),BDI!$E$17,IF(AND(#REF!="Diferenciado",$H$4=#REF!),BDI!#REF!,IF(#REF!="ZERO",0))))),"")</f>
        <v>#REF!</v>
      </c>
      <c r="H14" s="139" t="e">
        <f t="shared" ca="1" si="1"/>
        <v>#REF!</v>
      </c>
      <c r="I14" s="137" t="e">
        <f t="shared" ca="1" si="2"/>
        <v>#REF!</v>
      </c>
    </row>
    <row r="15" spans="1:11" hidden="1" x14ac:dyDescent="0.25">
      <c r="A15" s="114" t="s">
        <v>29</v>
      </c>
      <c r="B15" s="115" t="s">
        <v>1567</v>
      </c>
      <c r="C15" s="116" t="s">
        <v>94</v>
      </c>
      <c r="D15" s="116">
        <v>0</v>
      </c>
      <c r="E15" s="136">
        <f ca="1">OFFSET(INDEX(Composições!A:J,MATCH(Orçamentária!A15,Composições!A:A,0),8),2,0)</f>
        <v>2.6021450000000002</v>
      </c>
      <c r="F15" s="137">
        <f t="shared" ca="1" si="0"/>
        <v>0</v>
      </c>
      <c r="G15" s="138" t="e">
        <f>IF(A15&lt;&gt;"",IF(AND(#REF!="Padrão",$H$4=#REF!),BDI!$B$17,IF(AND(#REF!="Padrão",$H$4=#REF!),BDI!#REF!,IF(AND(#REF!="Diferenciado",$H$4=#REF!),BDI!$E$17,IF(AND(#REF!="Diferenciado",$H$4=#REF!),BDI!#REF!,IF(#REF!="ZERO",0))))),"")</f>
        <v>#REF!</v>
      </c>
      <c r="H15" s="139" t="e">
        <f t="shared" ca="1" si="1"/>
        <v>#REF!</v>
      </c>
      <c r="I15" s="137" t="e">
        <f t="shared" ca="1" si="2"/>
        <v>#REF!</v>
      </c>
    </row>
    <row r="16" spans="1:11" hidden="1" x14ac:dyDescent="0.25">
      <c r="A16" s="114" t="s">
        <v>31</v>
      </c>
      <c r="B16" s="115" t="s">
        <v>1568</v>
      </c>
      <c r="C16" s="116" t="s">
        <v>96</v>
      </c>
      <c r="D16" s="116">
        <v>0</v>
      </c>
      <c r="E16" s="136">
        <f ca="1">OFFSET(INDEX(Composições!A:J,MATCH(Orçamentária!A16,Composições!A:A,0),8),2,0)</f>
        <v>9.4933034500000009</v>
      </c>
      <c r="F16" s="137">
        <f t="shared" ca="1" si="0"/>
        <v>0</v>
      </c>
      <c r="G16" s="138" t="e">
        <f>IF(A16&lt;&gt;"",IF(AND(#REF!="Padrão",$H$4=#REF!),BDI!$B$17,IF(AND(#REF!="Padrão",$H$4=#REF!),BDI!#REF!,IF(AND(#REF!="Diferenciado",$H$4=#REF!),BDI!$E$17,IF(AND(#REF!="Diferenciado",$H$4=#REF!),BDI!#REF!,IF(#REF!="ZERO",0))))),"")</f>
        <v>#REF!</v>
      </c>
      <c r="H16" s="139" t="e">
        <f t="shared" ca="1" si="1"/>
        <v>#REF!</v>
      </c>
      <c r="I16" s="137" t="e">
        <f t="shared" ca="1" si="2"/>
        <v>#REF!</v>
      </c>
    </row>
    <row r="17" spans="1:11" hidden="1" x14ac:dyDescent="0.25">
      <c r="A17" s="114" t="s">
        <v>37</v>
      </c>
      <c r="B17" s="115" t="s">
        <v>1569</v>
      </c>
      <c r="C17" s="116" t="s">
        <v>96</v>
      </c>
      <c r="D17" s="116">
        <v>0</v>
      </c>
      <c r="E17" s="136">
        <f ca="1">OFFSET(INDEX(Composições!A:J,MATCH(Orçamentária!A17,Composições!A:A,0),8),2,0)</f>
        <v>2.54367345</v>
      </c>
      <c r="F17" s="137">
        <f t="shared" ca="1" si="0"/>
        <v>0</v>
      </c>
      <c r="G17" s="138" t="e">
        <f>IF(A17&lt;&gt;"",IF(AND(#REF!="Padrão",$H$4=#REF!),BDI!$B$17,IF(AND(#REF!="Padrão",$H$4=#REF!),BDI!#REF!,IF(AND(#REF!="Diferenciado",$H$4=#REF!),BDI!$E$17,IF(AND(#REF!="Diferenciado",$H$4=#REF!),BDI!#REF!,IF(#REF!="ZERO",0))))),"")</f>
        <v>#REF!</v>
      </c>
      <c r="H17" s="139" t="e">
        <f t="shared" ca="1" si="1"/>
        <v>#REF!</v>
      </c>
      <c r="I17" s="137" t="e">
        <f t="shared" ca="1" si="2"/>
        <v>#REF!</v>
      </c>
    </row>
    <row r="18" spans="1:11" hidden="1" x14ac:dyDescent="0.25">
      <c r="A18" s="114" t="s">
        <v>38</v>
      </c>
      <c r="B18" s="115" t="s">
        <v>1570</v>
      </c>
      <c r="C18" s="116" t="s">
        <v>94</v>
      </c>
      <c r="D18" s="116">
        <v>0</v>
      </c>
      <c r="E18" s="136">
        <f ca="1">OFFSET(INDEX(Composições!A:J,MATCH(Orçamentária!A18,Composições!A:A,0),8),2,0)</f>
        <v>0.38187720000000003</v>
      </c>
      <c r="F18" s="137">
        <f t="shared" ca="1" si="0"/>
        <v>0</v>
      </c>
      <c r="G18" s="138" t="e">
        <f>IF(A18&lt;&gt;"",IF(AND(#REF!="Padrão",$H$4=#REF!),BDI!$B$17,IF(AND(#REF!="Padrão",$H$4=#REF!),BDI!#REF!,IF(AND(#REF!="Diferenciado",$H$4=#REF!),BDI!$E$17,IF(AND(#REF!="Diferenciado",$H$4=#REF!),BDI!#REF!,IF(#REF!="ZERO",0))))),"")</f>
        <v>#REF!</v>
      </c>
      <c r="H18" s="139" t="e">
        <f t="shared" ca="1" si="1"/>
        <v>#REF!</v>
      </c>
      <c r="I18" s="137" t="e">
        <f t="shared" ca="1" si="2"/>
        <v>#REF!</v>
      </c>
    </row>
    <row r="19" spans="1:11" hidden="1" x14ac:dyDescent="0.25">
      <c r="A19" s="114" t="s">
        <v>40</v>
      </c>
      <c r="B19" s="115" t="s">
        <v>1571</v>
      </c>
      <c r="C19" s="116" t="s">
        <v>112</v>
      </c>
      <c r="D19" s="116">
        <v>0</v>
      </c>
      <c r="E19" s="136">
        <f ca="1">OFFSET(INDEX(Composições!A:J,MATCH(Orçamentária!A19,Composições!A:A,0),8),2,0)</f>
        <v>221.34799550000002</v>
      </c>
      <c r="F19" s="137">
        <f t="shared" ca="1" si="0"/>
        <v>0</v>
      </c>
      <c r="G19" s="138" t="e">
        <f>IF(A19&lt;&gt;"",IF(AND(#REF!="Padrão",$H$4=#REF!),BDI!$B$17,IF(AND(#REF!="Padrão",$H$4=#REF!),BDI!#REF!,IF(AND(#REF!="Diferenciado",$H$4=#REF!),BDI!$E$17,IF(AND(#REF!="Diferenciado",$H$4=#REF!),BDI!#REF!,IF(#REF!="ZERO",0))))),"")</f>
        <v>#REF!</v>
      </c>
      <c r="H19" s="139" t="e">
        <f t="shared" ca="1" si="1"/>
        <v>#REF!</v>
      </c>
      <c r="I19" s="137" t="e">
        <f t="shared" ca="1" si="2"/>
        <v>#REF!</v>
      </c>
    </row>
    <row r="20" spans="1:11" x14ac:dyDescent="0.25">
      <c r="A20" s="187" t="s">
        <v>1572</v>
      </c>
      <c r="B20" s="188" t="s">
        <v>1573</v>
      </c>
      <c r="C20" s="189" t="s">
        <v>20</v>
      </c>
      <c r="D20" s="116">
        <v>3</v>
      </c>
      <c r="E20" s="136">
        <v>322.5</v>
      </c>
      <c r="F20" s="137">
        <f t="shared" si="0"/>
        <v>967.5</v>
      </c>
      <c r="G20" s="138">
        <f>BDI!$E$17</f>
        <v>0.11260000000000001</v>
      </c>
      <c r="H20" s="139">
        <f t="shared" si="1"/>
        <v>358.81</v>
      </c>
      <c r="I20" s="137">
        <f t="shared" si="2"/>
        <v>1076.43</v>
      </c>
      <c r="K20" s="182"/>
    </row>
    <row r="21" spans="1:11" hidden="1" x14ac:dyDescent="0.25">
      <c r="A21" s="114" t="s">
        <v>43</v>
      </c>
      <c r="B21" s="115" t="s">
        <v>1574</v>
      </c>
      <c r="C21" s="116" t="s">
        <v>96</v>
      </c>
      <c r="D21" s="116">
        <v>0</v>
      </c>
      <c r="E21" s="136">
        <f ca="1">OFFSET(INDEX(Composições!A:J,MATCH(Orçamentária!A21,Composições!A:A,0),8),2,0)</f>
        <v>13.379799999999999</v>
      </c>
      <c r="F21" s="137">
        <f t="shared" ca="1" si="0"/>
        <v>0</v>
      </c>
      <c r="G21" s="138" t="e">
        <f>IF(A21&lt;&gt;"",IF(AND(#REF!="Padrão",$H$4=#REF!),BDI!$B$17,IF(AND(#REF!="Padrão",$H$4=#REF!),BDI!#REF!,IF(AND(#REF!="Diferenciado",$H$4=#REF!),BDI!$E$17,IF(AND(#REF!="Diferenciado",$H$4=#REF!),BDI!#REF!,IF(#REF!="ZERO",0))))),"")</f>
        <v>#REF!</v>
      </c>
      <c r="H21" s="139" t="e">
        <f t="shared" ca="1" si="1"/>
        <v>#REF!</v>
      </c>
      <c r="I21" s="137" t="e">
        <f t="shared" ca="1" si="2"/>
        <v>#REF!</v>
      </c>
    </row>
    <row r="22" spans="1:11" hidden="1" x14ac:dyDescent="0.25">
      <c r="A22" s="114" t="s">
        <v>45</v>
      </c>
      <c r="B22" s="115" t="s">
        <v>1575</v>
      </c>
      <c r="C22" s="116" t="s">
        <v>96</v>
      </c>
      <c r="D22" s="116">
        <v>0</v>
      </c>
      <c r="E22" s="136">
        <f ca="1">OFFSET(INDEX(Composições!A:J,MATCH(Orçamentária!A22,Composições!A:A,0),8),2,0)</f>
        <v>19.624625000000002</v>
      </c>
      <c r="F22" s="137">
        <f t="shared" ca="1" si="0"/>
        <v>0</v>
      </c>
      <c r="G22" s="138" t="e">
        <f>IF(A22&lt;&gt;"",IF(AND(#REF!="Padrão",$H$4=#REF!),BDI!$B$17,IF(AND(#REF!="Padrão",$H$4=#REF!),BDI!#REF!,IF(AND(#REF!="Diferenciado",$H$4=#REF!),BDI!$E$17,IF(AND(#REF!="Diferenciado",$H$4=#REF!),BDI!#REF!,IF(#REF!="ZERO",0))))),"")</f>
        <v>#REF!</v>
      </c>
      <c r="H22" s="139" t="e">
        <f t="shared" ca="1" si="1"/>
        <v>#REF!</v>
      </c>
      <c r="I22" s="137" t="e">
        <f t="shared" ca="1" si="2"/>
        <v>#REF!</v>
      </c>
    </row>
    <row r="23" spans="1:11" hidden="1" x14ac:dyDescent="0.25">
      <c r="A23" s="114" t="s">
        <v>46</v>
      </c>
      <c r="B23" s="115" t="s">
        <v>1576</v>
      </c>
      <c r="C23" s="116" t="s">
        <v>20</v>
      </c>
      <c r="D23" s="116">
        <v>0</v>
      </c>
      <c r="E23" s="136">
        <f ca="1">OFFSET(INDEX(Composições!A:J,MATCH(Orçamentária!A23,Composições!A:A,0),8),2,0)</f>
        <v>7.408100000000001</v>
      </c>
      <c r="F23" s="137">
        <f t="shared" ca="1" si="0"/>
        <v>0</v>
      </c>
      <c r="G23" s="138" t="e">
        <f>IF(A23&lt;&gt;"",IF(AND(#REF!="Padrão",$H$4=#REF!),BDI!$B$17,IF(AND(#REF!="Padrão",$H$4=#REF!),BDI!#REF!,IF(AND(#REF!="Diferenciado",$H$4=#REF!),BDI!$E$17,IF(AND(#REF!="Diferenciado",$H$4=#REF!),BDI!#REF!,IF(#REF!="ZERO",0))))),"")</f>
        <v>#REF!</v>
      </c>
      <c r="H23" s="139" t="e">
        <f t="shared" ca="1" si="1"/>
        <v>#REF!</v>
      </c>
      <c r="I23" s="137" t="e">
        <f t="shared" ca="1" si="2"/>
        <v>#REF!</v>
      </c>
    </row>
    <row r="24" spans="1:11" hidden="1" x14ac:dyDescent="0.25">
      <c r="A24" s="114" t="s">
        <v>47</v>
      </c>
      <c r="B24" s="115" t="s">
        <v>1577</v>
      </c>
      <c r="C24" s="116" t="s">
        <v>94</v>
      </c>
      <c r="D24" s="116">
        <v>0</v>
      </c>
      <c r="E24" s="136">
        <f ca="1">OFFSET(INDEX(Composições!A:J,MATCH(Orçamentária!A24,Composições!A:A,0),8),2,0)</f>
        <v>4.1168250000000013</v>
      </c>
      <c r="F24" s="137">
        <f t="shared" ca="1" si="0"/>
        <v>0</v>
      </c>
      <c r="G24" s="138" t="e">
        <f>IF(A24&lt;&gt;"",IF(AND(#REF!="Padrão",$H$4=#REF!),BDI!$B$17,IF(AND(#REF!="Padrão",$H$4=#REF!),BDI!#REF!,IF(AND(#REF!="Diferenciado",$H$4=#REF!),BDI!$E$17,IF(AND(#REF!="Diferenciado",$H$4=#REF!),BDI!#REF!,IF(#REF!="ZERO",0))))),"")</f>
        <v>#REF!</v>
      </c>
      <c r="H24" s="139" t="e">
        <f t="shared" ca="1" si="1"/>
        <v>#REF!</v>
      </c>
      <c r="I24" s="137" t="e">
        <f t="shared" ca="1" si="2"/>
        <v>#REF!</v>
      </c>
    </row>
    <row r="25" spans="1:11" hidden="1" x14ac:dyDescent="0.25">
      <c r="A25" s="114" t="s">
        <v>48</v>
      </c>
      <c r="B25" s="115" t="s">
        <v>1578</v>
      </c>
      <c r="C25" s="116" t="s">
        <v>96</v>
      </c>
      <c r="D25" s="116">
        <v>0</v>
      </c>
      <c r="E25" s="136">
        <f ca="1">OFFSET(INDEX(Composições!A:J,MATCH(Orçamentária!A25,Composições!A:A,0),8),2,0)</f>
        <v>1.8520250000000003</v>
      </c>
      <c r="F25" s="137">
        <f t="shared" ca="1" si="0"/>
        <v>0</v>
      </c>
      <c r="G25" s="138" t="e">
        <f>IF(A25&lt;&gt;"",IF(AND(#REF!="Padrão",$H$4=#REF!),BDI!$B$17,IF(AND(#REF!="Padrão",$H$4=#REF!),BDI!#REF!,IF(AND(#REF!="Diferenciado",$H$4=#REF!),BDI!$E$17,IF(AND(#REF!="Diferenciado",$H$4=#REF!),BDI!#REF!,IF(#REF!="ZERO",0))))),"")</f>
        <v>#REF!</v>
      </c>
      <c r="H25" s="139" t="e">
        <f t="shared" ca="1" si="1"/>
        <v>#REF!</v>
      </c>
      <c r="I25" s="137" t="e">
        <f t="shared" ca="1" si="2"/>
        <v>#REF!</v>
      </c>
    </row>
    <row r="26" spans="1:11" hidden="1" x14ac:dyDescent="0.25">
      <c r="A26" s="114" t="s">
        <v>49</v>
      </c>
      <c r="B26" s="115" t="s">
        <v>1579</v>
      </c>
      <c r="C26" s="116" t="s">
        <v>94</v>
      </c>
      <c r="D26" s="116">
        <v>0</v>
      </c>
      <c r="E26" s="136">
        <f ca="1">OFFSET(INDEX(Composições!A:J,MATCH(Orçamentária!A26,Composições!A:A,0),8),2,0)</f>
        <v>3.2290623499999995</v>
      </c>
      <c r="F26" s="137">
        <f t="shared" ca="1" si="0"/>
        <v>0</v>
      </c>
      <c r="G26" s="138" t="e">
        <f>IF(A26&lt;&gt;"",IF(AND(#REF!="Padrão",$H$4=#REF!),BDI!$B$17,IF(AND(#REF!="Padrão",$H$4=#REF!),BDI!#REF!,IF(AND(#REF!="Diferenciado",$H$4=#REF!),BDI!$E$17,IF(AND(#REF!="Diferenciado",$H$4=#REF!),BDI!#REF!,IF(#REF!="ZERO",0))))),"")</f>
        <v>#REF!</v>
      </c>
      <c r="H26" s="139" t="e">
        <f t="shared" ca="1" si="1"/>
        <v>#REF!</v>
      </c>
      <c r="I26" s="137" t="e">
        <f t="shared" ca="1" si="2"/>
        <v>#REF!</v>
      </c>
    </row>
    <row r="27" spans="1:11" hidden="1" x14ac:dyDescent="0.25">
      <c r="A27" s="114" t="s">
        <v>51</v>
      </c>
      <c r="B27" s="115" t="s">
        <v>1580</v>
      </c>
      <c r="C27" s="116" t="s">
        <v>20</v>
      </c>
      <c r="D27" s="116">
        <v>0</v>
      </c>
      <c r="E27" s="136">
        <f ca="1">OFFSET(INDEX(Composições!A:J,MATCH(Orçamentária!A27,Composições!A:A,0),8),2,0)</f>
        <v>20.269200000000001</v>
      </c>
      <c r="F27" s="137">
        <f t="shared" ca="1" si="0"/>
        <v>0</v>
      </c>
      <c r="G27" s="138" t="e">
        <f>IF(A27&lt;&gt;"",IF(AND(#REF!="Padrão",$H$4=#REF!),BDI!$B$17,IF(AND(#REF!="Padrão",$H$4=#REF!),BDI!#REF!,IF(AND(#REF!="Diferenciado",$H$4=#REF!),BDI!$E$17,IF(AND(#REF!="Diferenciado",$H$4=#REF!),BDI!#REF!,IF(#REF!="ZERO",0))))),"")</f>
        <v>#REF!</v>
      </c>
      <c r="H27" s="139" t="e">
        <f t="shared" ca="1" si="1"/>
        <v>#REF!</v>
      </c>
      <c r="I27" s="137" t="e">
        <f t="shared" ca="1" si="2"/>
        <v>#REF!</v>
      </c>
    </row>
    <row r="28" spans="1:11" hidden="1" x14ac:dyDescent="0.25">
      <c r="A28" s="114" t="s">
        <v>53</v>
      </c>
      <c r="B28" s="115" t="s">
        <v>1581</v>
      </c>
      <c r="C28" s="116" t="s">
        <v>96</v>
      </c>
      <c r="D28" s="116">
        <v>0</v>
      </c>
      <c r="E28" s="136">
        <f ca="1">OFFSET(INDEX(Composições!A:J,MATCH(Orçamentária!A28,Composições!A:A,0),8),2,0)</f>
        <v>30.626100000000001</v>
      </c>
      <c r="F28" s="137">
        <f t="shared" ca="1" si="0"/>
        <v>0</v>
      </c>
      <c r="G28" s="138" t="e">
        <f>IF(A28&lt;&gt;"",IF(AND(#REF!="Padrão",$H$4=#REF!),BDI!$B$17,IF(AND(#REF!="Padrão",$H$4=#REF!),BDI!#REF!,IF(AND(#REF!="Diferenciado",$H$4=#REF!),BDI!$E$17,IF(AND(#REF!="Diferenciado",$H$4=#REF!),BDI!#REF!,IF(#REF!="ZERO",0))))),"")</f>
        <v>#REF!</v>
      </c>
      <c r="H28" s="139" t="e">
        <f t="shared" ca="1" si="1"/>
        <v>#REF!</v>
      </c>
      <c r="I28" s="137" t="e">
        <f t="shared" ca="1" si="2"/>
        <v>#REF!</v>
      </c>
    </row>
    <row r="29" spans="1:11" hidden="1" x14ac:dyDescent="0.25">
      <c r="A29" s="114" t="s">
        <v>55</v>
      </c>
      <c r="B29" s="115" t="s">
        <v>1582</v>
      </c>
      <c r="C29" s="116" t="s">
        <v>96</v>
      </c>
      <c r="D29" s="116">
        <v>0</v>
      </c>
      <c r="E29" s="136">
        <f ca="1">OFFSET(INDEX(Composições!A:J,MATCH(Orçamentária!A29,Composições!A:A,0),8),2,0)</f>
        <v>26.299799999999998</v>
      </c>
      <c r="F29" s="137">
        <f t="shared" ca="1" si="0"/>
        <v>0</v>
      </c>
      <c r="G29" s="138" t="e">
        <f>IF(A29&lt;&gt;"",IF(AND(#REF!="Padrão",$H$4=#REF!),BDI!$B$17,IF(AND(#REF!="Padrão",$H$4=#REF!),BDI!#REF!,IF(AND(#REF!="Diferenciado",$H$4=#REF!),BDI!$E$17,IF(AND(#REF!="Diferenciado",$H$4=#REF!),BDI!#REF!,IF(#REF!="ZERO",0))))),"")</f>
        <v>#REF!</v>
      </c>
      <c r="H29" s="139" t="e">
        <f t="shared" ca="1" si="1"/>
        <v>#REF!</v>
      </c>
      <c r="I29" s="137" t="e">
        <f t="shared" ca="1" si="2"/>
        <v>#REF!</v>
      </c>
    </row>
    <row r="30" spans="1:11" hidden="1" x14ac:dyDescent="0.25">
      <c r="A30" s="114" t="s">
        <v>56</v>
      </c>
      <c r="B30" s="115" t="s">
        <v>1583</v>
      </c>
      <c r="C30" s="116" t="s">
        <v>94</v>
      </c>
      <c r="D30" s="116">
        <v>0</v>
      </c>
      <c r="E30" s="136">
        <f ca="1">OFFSET(INDEX(Composições!A:J,MATCH(Orçamentária!A30,Composições!A:A,0),8),2,0)</f>
        <v>8.6773000000000007</v>
      </c>
      <c r="F30" s="137">
        <f t="shared" ca="1" si="0"/>
        <v>0</v>
      </c>
      <c r="G30" s="138" t="e">
        <f>IF(A30&lt;&gt;"",IF(AND(#REF!="Padrão",$H$4=#REF!),BDI!$B$17,IF(AND(#REF!="Padrão",$H$4=#REF!),BDI!#REF!,IF(AND(#REF!="Diferenciado",$H$4=#REF!),BDI!$E$17,IF(AND(#REF!="Diferenciado",$H$4=#REF!),BDI!#REF!,IF(#REF!="ZERO",0))))),"")</f>
        <v>#REF!</v>
      </c>
      <c r="H30" s="139" t="e">
        <f t="shared" ca="1" si="1"/>
        <v>#REF!</v>
      </c>
      <c r="I30" s="137" t="e">
        <f t="shared" ca="1" si="2"/>
        <v>#REF!</v>
      </c>
    </row>
    <row r="31" spans="1:11" hidden="1" x14ac:dyDescent="0.25">
      <c r="A31" s="114" t="s">
        <v>57</v>
      </c>
      <c r="B31" s="115" t="s">
        <v>1584</v>
      </c>
      <c r="C31" s="116" t="s">
        <v>96</v>
      </c>
      <c r="D31" s="116">
        <v>0</v>
      </c>
      <c r="E31" s="136">
        <f ca="1">OFFSET(INDEX(Composições!A:J,MATCH(Orçamentária!A31,Composições!A:A,0),8),2,0)</f>
        <v>9.2601250000000004</v>
      </c>
      <c r="F31" s="137">
        <f t="shared" ca="1" si="0"/>
        <v>0</v>
      </c>
      <c r="G31" s="138" t="e">
        <f>IF(A31&lt;&gt;"",IF(AND(#REF!="Padrão",$H$4=#REF!),BDI!$B$17,IF(AND(#REF!="Padrão",$H$4=#REF!),BDI!#REF!,IF(AND(#REF!="Diferenciado",$H$4=#REF!),BDI!$E$17,IF(AND(#REF!="Diferenciado",$H$4=#REF!),BDI!#REF!,IF(#REF!="ZERO",0))))),"")</f>
        <v>#REF!</v>
      </c>
      <c r="H31" s="139" t="e">
        <f t="shared" ca="1" si="1"/>
        <v>#REF!</v>
      </c>
      <c r="I31" s="137" t="e">
        <f t="shared" ca="1" si="2"/>
        <v>#REF!</v>
      </c>
    </row>
    <row r="32" spans="1:11" hidden="1" x14ac:dyDescent="0.25">
      <c r="A32" s="114" t="s">
        <v>58</v>
      </c>
      <c r="B32" s="115" t="s">
        <v>1585</v>
      </c>
      <c r="C32" s="116" t="s">
        <v>20</v>
      </c>
      <c r="D32" s="116">
        <v>0</v>
      </c>
      <c r="E32" s="136">
        <f ca="1">OFFSET(INDEX(Composições!A:J,MATCH(Orçamentária!A32,Composições!A:A,0),8),2,0)</f>
        <v>6.6803999999999997</v>
      </c>
      <c r="F32" s="137">
        <f t="shared" ca="1" si="0"/>
        <v>0</v>
      </c>
      <c r="G32" s="138" t="e">
        <f>IF(A32&lt;&gt;"",IF(AND(#REF!="Padrão",$H$4=#REF!),BDI!$B$17,IF(AND(#REF!="Padrão",$H$4=#REF!),BDI!#REF!,IF(AND(#REF!="Diferenciado",$H$4=#REF!),BDI!$E$17,IF(AND(#REF!="Diferenciado",$H$4=#REF!),BDI!#REF!,IF(#REF!="ZERO",0))))),"")</f>
        <v>#REF!</v>
      </c>
      <c r="H32" s="139" t="e">
        <f t="shared" ca="1" si="1"/>
        <v>#REF!</v>
      </c>
      <c r="I32" s="137" t="e">
        <f t="shared" ca="1" si="2"/>
        <v>#REF!</v>
      </c>
    </row>
    <row r="33" spans="1:9" hidden="1" x14ac:dyDescent="0.25">
      <c r="A33" s="114" t="s">
        <v>59</v>
      </c>
      <c r="B33" s="115" t="s">
        <v>1586</v>
      </c>
      <c r="C33" s="116" t="s">
        <v>20</v>
      </c>
      <c r="D33" s="116">
        <v>0</v>
      </c>
      <c r="E33" s="136">
        <f ca="1">OFFSET(INDEX(Composições!A:J,MATCH(Orçamentária!A33,Composições!A:A,0),8),2,0)</f>
        <v>5.4791249999999998</v>
      </c>
      <c r="F33" s="137">
        <f t="shared" ca="1" si="0"/>
        <v>0</v>
      </c>
      <c r="G33" s="138" t="e">
        <f>IF(A33&lt;&gt;"",IF(AND(#REF!="Padrão",$H$4=#REF!),BDI!$B$17,IF(AND(#REF!="Padrão",$H$4=#REF!),BDI!#REF!,IF(AND(#REF!="Diferenciado",$H$4=#REF!),BDI!$E$17,IF(AND(#REF!="Diferenciado",$H$4=#REF!),BDI!#REF!,IF(#REF!="ZERO",0))))),"")</f>
        <v>#REF!</v>
      </c>
      <c r="H33" s="139" t="e">
        <f t="shared" ca="1" si="1"/>
        <v>#REF!</v>
      </c>
      <c r="I33" s="137" t="e">
        <f t="shared" ca="1" si="2"/>
        <v>#REF!</v>
      </c>
    </row>
    <row r="34" spans="1:9" hidden="1" x14ac:dyDescent="0.25">
      <c r="A34" s="114" t="s">
        <v>60</v>
      </c>
      <c r="B34" s="115" t="s">
        <v>1587</v>
      </c>
      <c r="C34" s="116" t="s">
        <v>20</v>
      </c>
      <c r="D34" s="116">
        <v>0</v>
      </c>
      <c r="E34" s="136">
        <f ca="1">OFFSET(INDEX(Composições!A:J,MATCH(Orçamentária!A34,Composições!A:A,0),8),2,0)</f>
        <v>7.1161355500000001</v>
      </c>
      <c r="F34" s="137">
        <f t="shared" ca="1" si="0"/>
        <v>0</v>
      </c>
      <c r="G34" s="138" t="e">
        <f>IF(A34&lt;&gt;"",IF(AND(#REF!="Padrão",$H$4=#REF!),BDI!$B$17,IF(AND(#REF!="Padrão",$H$4=#REF!),BDI!#REF!,IF(AND(#REF!="Diferenciado",$H$4=#REF!),BDI!$E$17,IF(AND(#REF!="Diferenciado",$H$4=#REF!),BDI!#REF!,IF(#REF!="ZERO",0))))),"")</f>
        <v>#REF!</v>
      </c>
      <c r="H34" s="139" t="e">
        <f t="shared" ca="1" si="1"/>
        <v>#REF!</v>
      </c>
      <c r="I34" s="137" t="e">
        <f t="shared" ca="1" si="2"/>
        <v>#REF!</v>
      </c>
    </row>
    <row r="35" spans="1:9" hidden="1" x14ac:dyDescent="0.25">
      <c r="A35" s="114" t="s">
        <v>61</v>
      </c>
      <c r="B35" s="115" t="s">
        <v>1588</v>
      </c>
      <c r="C35" s="116" t="s">
        <v>96</v>
      </c>
      <c r="D35" s="116">
        <v>0</v>
      </c>
      <c r="E35" s="136">
        <f ca="1">OFFSET(INDEX(Composições!A:J,MATCH(Orçamentária!A35,Composições!A:A,0),8),2,0)</f>
        <v>16.668225000000003</v>
      </c>
      <c r="F35" s="137">
        <f t="shared" ca="1" si="0"/>
        <v>0</v>
      </c>
      <c r="G35" s="138" t="e">
        <f>IF(A35&lt;&gt;"",IF(AND(#REF!="Padrão",$H$4=#REF!),BDI!$B$17,IF(AND(#REF!="Padrão",$H$4=#REF!),BDI!#REF!,IF(AND(#REF!="Diferenciado",$H$4=#REF!),BDI!$E$17,IF(AND(#REF!="Diferenciado",$H$4=#REF!),BDI!#REF!,IF(#REF!="ZERO",0))))),"")</f>
        <v>#REF!</v>
      </c>
      <c r="H35" s="139" t="e">
        <f t="shared" ca="1" si="1"/>
        <v>#REF!</v>
      </c>
      <c r="I35" s="137" t="e">
        <f t="shared" ca="1" si="2"/>
        <v>#REF!</v>
      </c>
    </row>
    <row r="36" spans="1:9" hidden="1" x14ac:dyDescent="0.25">
      <c r="A36" s="114" t="s">
        <v>62</v>
      </c>
      <c r="B36" s="115" t="s">
        <v>1589</v>
      </c>
      <c r="C36" s="116" t="s">
        <v>20</v>
      </c>
      <c r="D36" s="116">
        <v>0</v>
      </c>
      <c r="E36" s="136">
        <f ca="1">OFFSET(INDEX(Composições!A:J,MATCH(Orçamentária!A36,Composições!A:A,0),8),2,0)</f>
        <v>9.4188662000000001</v>
      </c>
      <c r="F36" s="137">
        <f t="shared" ca="1" si="0"/>
        <v>0</v>
      </c>
      <c r="G36" s="138" t="e">
        <f>IF(A36&lt;&gt;"",IF(AND(#REF!="Padrão",$H$4=#REF!),BDI!$B$17,IF(AND(#REF!="Padrão",$H$4=#REF!),BDI!#REF!,IF(AND(#REF!="Diferenciado",$H$4=#REF!),BDI!$E$17,IF(AND(#REF!="Diferenciado",$H$4=#REF!),BDI!#REF!,IF(#REF!="ZERO",0))))),"")</f>
        <v>#REF!</v>
      </c>
      <c r="H36" s="139" t="e">
        <f t="shared" ca="1" si="1"/>
        <v>#REF!</v>
      </c>
      <c r="I36" s="137" t="e">
        <f t="shared" ca="1" si="2"/>
        <v>#REF!</v>
      </c>
    </row>
    <row r="37" spans="1:9" hidden="1" x14ac:dyDescent="0.25">
      <c r="A37" s="114" t="s">
        <v>63</v>
      </c>
      <c r="B37" s="115" t="s">
        <v>1590</v>
      </c>
      <c r="C37" s="116" t="s">
        <v>20</v>
      </c>
      <c r="D37" s="116">
        <v>0</v>
      </c>
      <c r="E37" s="136">
        <f ca="1">OFFSET(INDEX(Composições!A:J,MATCH(Orçamentária!A37,Composições!A:A,0),8),2,0)</f>
        <v>4.9654362499999998</v>
      </c>
      <c r="F37" s="137">
        <f t="shared" ca="1" si="0"/>
        <v>0</v>
      </c>
      <c r="G37" s="138" t="e">
        <f>IF(A37&lt;&gt;"",IF(AND(#REF!="Padrão",$H$4=#REF!),BDI!$B$17,IF(AND(#REF!="Padrão",$H$4=#REF!),BDI!#REF!,IF(AND(#REF!="Diferenciado",$H$4=#REF!),BDI!$E$17,IF(AND(#REF!="Diferenciado",$H$4=#REF!),BDI!#REF!,IF(#REF!="ZERO",0))))),"")</f>
        <v>#REF!</v>
      </c>
      <c r="H37" s="139" t="e">
        <f t="shared" ca="1" si="1"/>
        <v>#REF!</v>
      </c>
      <c r="I37" s="137" t="e">
        <f t="shared" ca="1" si="2"/>
        <v>#REF!</v>
      </c>
    </row>
    <row r="38" spans="1:9" hidden="1" x14ac:dyDescent="0.25">
      <c r="A38" s="114" t="s">
        <v>65</v>
      </c>
      <c r="B38" s="115" t="s">
        <v>1591</v>
      </c>
      <c r="C38" s="116" t="s">
        <v>20</v>
      </c>
      <c r="D38" s="116">
        <v>0</v>
      </c>
      <c r="E38" s="136">
        <f ca="1">OFFSET(INDEX(Composições!A:J,MATCH(Orçamentária!A38,Composições!A:A,0),8),2,0)</f>
        <v>6.8683271000000001</v>
      </c>
      <c r="F38" s="137">
        <f t="shared" ca="1" si="0"/>
        <v>0</v>
      </c>
      <c r="G38" s="138" t="e">
        <f>IF(A38&lt;&gt;"",IF(AND(#REF!="Padrão",$H$4=#REF!),BDI!$B$17,IF(AND(#REF!="Padrão",$H$4=#REF!),BDI!#REF!,IF(AND(#REF!="Diferenciado",$H$4=#REF!),BDI!$E$17,IF(AND(#REF!="Diferenciado",$H$4=#REF!),BDI!#REF!,IF(#REF!="ZERO",0))))),"")</f>
        <v>#REF!</v>
      </c>
      <c r="H38" s="139" t="e">
        <f t="shared" ca="1" si="1"/>
        <v>#REF!</v>
      </c>
      <c r="I38" s="137" t="e">
        <f t="shared" ca="1" si="2"/>
        <v>#REF!</v>
      </c>
    </row>
    <row r="39" spans="1:9" hidden="1" x14ac:dyDescent="0.25">
      <c r="A39" s="114" t="s">
        <v>66</v>
      </c>
      <c r="B39" s="115" t="s">
        <v>1592</v>
      </c>
      <c r="C39" s="116" t="s">
        <v>96</v>
      </c>
      <c r="D39" s="116">
        <v>0</v>
      </c>
      <c r="E39" s="136">
        <f ca="1">OFFSET(INDEX(Composições!A:J,MATCH(Orçamentária!A39,Composições!A:A,0),8),2,0)</f>
        <v>13.43965</v>
      </c>
      <c r="F39" s="137">
        <f t="shared" ca="1" si="0"/>
        <v>0</v>
      </c>
      <c r="G39" s="138" t="e">
        <f>IF(A39&lt;&gt;"",IF(AND(#REF!="Padrão",$H$4=#REF!),BDI!$B$17,IF(AND(#REF!="Padrão",$H$4=#REF!),BDI!#REF!,IF(AND(#REF!="Diferenciado",$H$4=#REF!),BDI!$E$17,IF(AND(#REF!="Diferenciado",$H$4=#REF!),BDI!#REF!,IF(#REF!="ZERO",0))))),"")</f>
        <v>#REF!</v>
      </c>
      <c r="H39" s="139" t="e">
        <f t="shared" ca="1" si="1"/>
        <v>#REF!</v>
      </c>
      <c r="I39" s="137" t="e">
        <f t="shared" ca="1" si="2"/>
        <v>#REF!</v>
      </c>
    </row>
    <row r="40" spans="1:9" hidden="1" x14ac:dyDescent="0.25">
      <c r="A40" s="114" t="s">
        <v>67</v>
      </c>
      <c r="B40" s="115" t="s">
        <v>1593</v>
      </c>
      <c r="C40" s="116" t="s">
        <v>96</v>
      </c>
      <c r="D40" s="116">
        <v>0</v>
      </c>
      <c r="E40" s="136">
        <f ca="1">OFFSET(INDEX(Composições!A:J,MATCH(Orçamentária!A40,Composições!A:A,0),8),2,0)</f>
        <v>8.2156000000000002</v>
      </c>
      <c r="F40" s="137">
        <f t="shared" ca="1" si="0"/>
        <v>0</v>
      </c>
      <c r="G40" s="138" t="e">
        <f>IF(A40&lt;&gt;"",IF(AND(#REF!="Padrão",$H$4=#REF!),BDI!$B$17,IF(AND(#REF!="Padrão",$H$4=#REF!),BDI!#REF!,IF(AND(#REF!="Diferenciado",$H$4=#REF!),BDI!$E$17,IF(AND(#REF!="Diferenciado",$H$4=#REF!),BDI!#REF!,IF(#REF!="ZERO",0))))),"")</f>
        <v>#REF!</v>
      </c>
      <c r="H40" s="139" t="e">
        <f t="shared" ca="1" si="1"/>
        <v>#REF!</v>
      </c>
      <c r="I40" s="137" t="e">
        <f t="shared" ca="1" si="2"/>
        <v>#REF!</v>
      </c>
    </row>
    <row r="41" spans="1:9" hidden="1" x14ac:dyDescent="0.25">
      <c r="A41" s="114" t="s">
        <v>69</v>
      </c>
      <c r="B41" s="115" t="s">
        <v>1594</v>
      </c>
      <c r="C41" s="116" t="s">
        <v>94</v>
      </c>
      <c r="D41" s="116">
        <v>0</v>
      </c>
      <c r="E41" s="136">
        <f ca="1">OFFSET(INDEX(Composições!A:J,MATCH(Orçamentária!A41,Composições!A:A,0),8),2,0)</f>
        <v>3.2290623499999995</v>
      </c>
      <c r="F41" s="137">
        <f t="shared" ca="1" si="0"/>
        <v>0</v>
      </c>
      <c r="G41" s="138" t="e">
        <f>IF(A41&lt;&gt;"",IF(AND(#REF!="Padrão",$H$4=#REF!),BDI!$B$17,IF(AND(#REF!="Padrão",$H$4=#REF!),BDI!#REF!,IF(AND(#REF!="Diferenciado",$H$4=#REF!),BDI!$E$17,IF(AND(#REF!="Diferenciado",$H$4=#REF!),BDI!#REF!,IF(#REF!="ZERO",0))))),"")</f>
        <v>#REF!</v>
      </c>
      <c r="H41" s="139" t="e">
        <f t="shared" ca="1" si="1"/>
        <v>#REF!</v>
      </c>
      <c r="I41" s="137" t="e">
        <f t="shared" ca="1" si="2"/>
        <v>#REF!</v>
      </c>
    </row>
    <row r="42" spans="1:9" hidden="1" x14ac:dyDescent="0.25">
      <c r="A42" s="114" t="s">
        <v>70</v>
      </c>
      <c r="B42" s="115" t="s">
        <v>1595</v>
      </c>
      <c r="C42" s="116" t="s">
        <v>96</v>
      </c>
      <c r="D42" s="116">
        <v>0</v>
      </c>
      <c r="E42" s="136">
        <f ca="1">OFFSET(INDEX(Composições!A:J,MATCH(Orçamentária!A42,Composições!A:A,0),8),2,0)</f>
        <v>6.5246000000000013</v>
      </c>
      <c r="F42" s="137">
        <f t="shared" ca="1" si="0"/>
        <v>0</v>
      </c>
      <c r="G42" s="138" t="e">
        <f>IF(A42&lt;&gt;"",IF(AND(#REF!="Padrão",$H$4=#REF!),BDI!$B$17,IF(AND(#REF!="Padrão",$H$4=#REF!),BDI!#REF!,IF(AND(#REF!="Diferenciado",$H$4=#REF!),BDI!$E$17,IF(AND(#REF!="Diferenciado",$H$4=#REF!),BDI!#REF!,IF(#REF!="ZERO",0))))),"")</f>
        <v>#REF!</v>
      </c>
      <c r="H42" s="139" t="e">
        <f t="shared" ca="1" si="1"/>
        <v>#REF!</v>
      </c>
      <c r="I42" s="137" t="e">
        <f t="shared" ca="1" si="2"/>
        <v>#REF!</v>
      </c>
    </row>
    <row r="43" spans="1:9" hidden="1" x14ac:dyDescent="0.25">
      <c r="A43" s="114" t="s">
        <v>71</v>
      </c>
      <c r="B43" s="115" t="s">
        <v>1596</v>
      </c>
      <c r="C43" s="116" t="s">
        <v>96</v>
      </c>
      <c r="D43" s="116">
        <v>0</v>
      </c>
      <c r="E43" s="136">
        <f ca="1">OFFSET(INDEX(Composições!A:J,MATCH(Orçamentária!A43,Composições!A:A,0),8),2,0)</f>
        <v>3.7854013500000003</v>
      </c>
      <c r="F43" s="137">
        <f t="shared" ca="1" si="0"/>
        <v>0</v>
      </c>
      <c r="G43" s="138" t="e">
        <f>IF(A43&lt;&gt;"",IF(AND(#REF!="Padrão",$H$4=#REF!),BDI!$B$17,IF(AND(#REF!="Padrão",$H$4=#REF!),BDI!#REF!,IF(AND(#REF!="Diferenciado",$H$4=#REF!),BDI!$E$17,IF(AND(#REF!="Diferenciado",$H$4=#REF!),BDI!#REF!,IF(#REF!="ZERO",0))))),"")</f>
        <v>#REF!</v>
      </c>
      <c r="H43" s="139" t="e">
        <f t="shared" ca="1" si="1"/>
        <v>#REF!</v>
      </c>
      <c r="I43" s="137" t="e">
        <f t="shared" ca="1" si="2"/>
        <v>#REF!</v>
      </c>
    </row>
    <row r="44" spans="1:9" hidden="1" x14ac:dyDescent="0.25">
      <c r="A44" s="114" t="s">
        <v>73</v>
      </c>
      <c r="B44" s="115" t="s">
        <v>1597</v>
      </c>
      <c r="C44" s="116" t="s">
        <v>20</v>
      </c>
      <c r="D44" s="116">
        <v>0</v>
      </c>
      <c r="E44" s="136">
        <f ca="1">OFFSET(INDEX(Composições!A:J,MATCH(Orçamentária!A44,Composições!A:A,0),8),2,0)</f>
        <v>58.216000000000001</v>
      </c>
      <c r="F44" s="137">
        <f t="shared" ca="1" si="0"/>
        <v>0</v>
      </c>
      <c r="G44" s="138" t="e">
        <f>IF(A44&lt;&gt;"",IF(AND(#REF!="Padrão",$H$4=#REF!),BDI!$B$17,IF(AND(#REF!="Padrão",$H$4=#REF!),BDI!#REF!,IF(AND(#REF!="Diferenciado",$H$4=#REF!),BDI!$E$17,IF(AND(#REF!="Diferenciado",$H$4=#REF!),BDI!#REF!,IF(#REF!="ZERO",0))))),"")</f>
        <v>#REF!</v>
      </c>
      <c r="H44" s="139" t="e">
        <f t="shared" ca="1" si="1"/>
        <v>#REF!</v>
      </c>
      <c r="I44" s="137" t="e">
        <f t="shared" ca="1" si="2"/>
        <v>#REF!</v>
      </c>
    </row>
    <row r="45" spans="1:9" hidden="1" x14ac:dyDescent="0.25">
      <c r="A45" s="114" t="s">
        <v>75</v>
      </c>
      <c r="B45" s="115" t="s">
        <v>1598</v>
      </c>
      <c r="C45" s="116" t="s">
        <v>96</v>
      </c>
      <c r="D45" s="116">
        <v>0</v>
      </c>
      <c r="E45" s="136">
        <f ca="1">OFFSET(INDEX(Composições!A:J,MATCH(Orçamentária!A45,Composições!A:A,0),8),2,0)</f>
        <v>3.2623000000000006</v>
      </c>
      <c r="F45" s="137">
        <f t="shared" ca="1" si="0"/>
        <v>0</v>
      </c>
      <c r="G45" s="138" t="e">
        <f>IF(A45&lt;&gt;"",IF(AND(#REF!="Padrão",$H$4=#REF!),BDI!$B$17,IF(AND(#REF!="Padrão",$H$4=#REF!),BDI!#REF!,IF(AND(#REF!="Diferenciado",$H$4=#REF!),BDI!$E$17,IF(AND(#REF!="Diferenciado",$H$4=#REF!),BDI!#REF!,IF(#REF!="ZERO",0))))),"")</f>
        <v>#REF!</v>
      </c>
      <c r="H45" s="139" t="e">
        <f t="shared" ca="1" si="1"/>
        <v>#REF!</v>
      </c>
      <c r="I45" s="137" t="e">
        <f t="shared" ca="1" si="2"/>
        <v>#REF!</v>
      </c>
    </row>
    <row r="46" spans="1:9" hidden="1" x14ac:dyDescent="0.25">
      <c r="A46" s="114" t="s">
        <v>76</v>
      </c>
      <c r="B46" s="115" t="s">
        <v>1599</v>
      </c>
      <c r="C46" s="116" t="s">
        <v>94</v>
      </c>
      <c r="D46" s="116">
        <v>0</v>
      </c>
      <c r="E46" s="136">
        <f ca="1">OFFSET(INDEX(Composições!A:J,MATCH(Orçamentária!A46,Composições!A:A,0),8),2,0)</f>
        <v>1.4256251000000002</v>
      </c>
      <c r="F46" s="137">
        <f t="shared" ca="1" si="0"/>
        <v>0</v>
      </c>
      <c r="G46" s="138" t="e">
        <f>IF(A46&lt;&gt;"",IF(AND(#REF!="Padrão",$H$4=#REF!),BDI!$B$17,IF(AND(#REF!="Padrão",$H$4=#REF!),BDI!#REF!,IF(AND(#REF!="Diferenciado",$H$4=#REF!),BDI!$E$17,IF(AND(#REF!="Diferenciado",$H$4=#REF!),BDI!#REF!,IF(#REF!="ZERO",0))))),"")</f>
        <v>#REF!</v>
      </c>
      <c r="H46" s="139" t="e">
        <f t="shared" ca="1" si="1"/>
        <v>#REF!</v>
      </c>
      <c r="I46" s="137" t="e">
        <f t="shared" ca="1" si="2"/>
        <v>#REF!</v>
      </c>
    </row>
    <row r="47" spans="1:9" hidden="1" x14ac:dyDescent="0.25">
      <c r="A47" s="114" t="s">
        <v>77</v>
      </c>
      <c r="B47" s="115" t="s">
        <v>1600</v>
      </c>
      <c r="C47" s="116" t="s">
        <v>96</v>
      </c>
      <c r="D47" s="116">
        <v>0</v>
      </c>
      <c r="E47" s="136">
        <f ca="1">OFFSET(INDEX(Composições!A:J,MATCH(Orçamentária!A47,Composições!A:A,0),8),2,0)</f>
        <v>5.8774125000000002</v>
      </c>
      <c r="F47" s="137">
        <f t="shared" ca="1" si="0"/>
        <v>0</v>
      </c>
      <c r="G47" s="138" t="e">
        <f>IF(A47&lt;&gt;"",IF(AND(#REF!="Padrão",$H$4=#REF!),BDI!$B$17,IF(AND(#REF!="Padrão",$H$4=#REF!),BDI!#REF!,IF(AND(#REF!="Diferenciado",$H$4=#REF!),BDI!$E$17,IF(AND(#REF!="Diferenciado",$H$4=#REF!),BDI!#REF!,IF(#REF!="ZERO",0))))),"")</f>
        <v>#REF!</v>
      </c>
      <c r="H47" s="139" t="e">
        <f t="shared" ca="1" si="1"/>
        <v>#REF!</v>
      </c>
      <c r="I47" s="137" t="e">
        <f t="shared" ca="1" si="2"/>
        <v>#REF!</v>
      </c>
    </row>
    <row r="48" spans="1:9" hidden="1" x14ac:dyDescent="0.25">
      <c r="A48" s="114" t="s">
        <v>79</v>
      </c>
      <c r="B48" s="115" t="s">
        <v>1601</v>
      </c>
      <c r="C48" s="116" t="s">
        <v>94</v>
      </c>
      <c r="D48" s="116">
        <v>0</v>
      </c>
      <c r="E48" s="136">
        <f ca="1">OFFSET(INDEX(Composições!A:J,MATCH(Orçamentária!A48,Composições!A:A,0),8),2,0)</f>
        <v>8.971325000000002</v>
      </c>
      <c r="F48" s="137">
        <f t="shared" ca="1" si="0"/>
        <v>0</v>
      </c>
      <c r="G48" s="138" t="e">
        <f>IF(A48&lt;&gt;"",IF(AND(#REF!="Padrão",$H$4=#REF!),BDI!$B$17,IF(AND(#REF!="Padrão",$H$4=#REF!),BDI!#REF!,IF(AND(#REF!="Diferenciado",$H$4=#REF!),BDI!$E$17,IF(AND(#REF!="Diferenciado",$H$4=#REF!),BDI!#REF!,IF(#REF!="ZERO",0))))),"")</f>
        <v>#REF!</v>
      </c>
      <c r="H48" s="139" t="e">
        <f t="shared" ca="1" si="1"/>
        <v>#REF!</v>
      </c>
      <c r="I48" s="137" t="e">
        <f t="shared" ca="1" si="2"/>
        <v>#REF!</v>
      </c>
    </row>
    <row r="49" spans="1:11" hidden="1" x14ac:dyDescent="0.25">
      <c r="A49" s="114" t="s">
        <v>80</v>
      </c>
      <c r="B49" s="115" t="s">
        <v>1602</v>
      </c>
      <c r="C49" s="116" t="s">
        <v>20</v>
      </c>
      <c r="D49" s="116">
        <v>0</v>
      </c>
      <c r="E49" s="136">
        <f ca="1">OFFSET(INDEX(Composições!A:J,MATCH(Orçamentária!A49,Composições!A:A,0),8),2,0)</f>
        <v>40.536500000000004</v>
      </c>
      <c r="F49" s="137">
        <f t="shared" ca="1" si="0"/>
        <v>0</v>
      </c>
      <c r="G49" s="138" t="e">
        <f>IF(A49&lt;&gt;"",IF(AND(#REF!="Padrão",$H$4=#REF!),BDI!$B$17,IF(AND(#REF!="Padrão",$H$4=#REF!),BDI!#REF!,IF(AND(#REF!="Diferenciado",$H$4=#REF!),BDI!$E$17,IF(AND(#REF!="Diferenciado",$H$4=#REF!),BDI!#REF!,IF(#REF!="ZERO",0))))),"")</f>
        <v>#REF!</v>
      </c>
      <c r="H49" s="139" t="e">
        <f t="shared" ca="1" si="1"/>
        <v>#REF!</v>
      </c>
      <c r="I49" s="137" t="e">
        <f t="shared" ca="1" si="2"/>
        <v>#REF!</v>
      </c>
    </row>
    <row r="50" spans="1:11" hidden="1" x14ac:dyDescent="0.25">
      <c r="A50" s="114" t="s">
        <v>82</v>
      </c>
      <c r="B50" s="115" t="s">
        <v>1603</v>
      </c>
      <c r="C50" s="116" t="s">
        <v>96</v>
      </c>
      <c r="D50" s="116">
        <v>0</v>
      </c>
      <c r="E50" s="136">
        <f ca="1">OFFSET(INDEX(Composições!A:J,MATCH(Orçamentária!A50,Composições!A:A,0),8),2,0)</f>
        <v>13.5318</v>
      </c>
      <c r="F50" s="137">
        <f t="shared" ca="1" si="0"/>
        <v>0</v>
      </c>
      <c r="G50" s="138" t="e">
        <f>IF(A50&lt;&gt;"",IF(AND(#REF!="Padrão",$H$4=#REF!),BDI!$B$17,IF(AND(#REF!="Padrão",$H$4=#REF!),BDI!#REF!,IF(AND(#REF!="Diferenciado",$H$4=#REF!),BDI!$E$17,IF(AND(#REF!="Diferenciado",$H$4=#REF!),BDI!#REF!,IF(#REF!="ZERO",0))))),"")</f>
        <v>#REF!</v>
      </c>
      <c r="H50" s="139" t="e">
        <f t="shared" ca="1" si="1"/>
        <v>#REF!</v>
      </c>
      <c r="I50" s="137" t="e">
        <f t="shared" ca="1" si="2"/>
        <v>#REF!</v>
      </c>
    </row>
    <row r="51" spans="1:11" x14ac:dyDescent="0.25">
      <c r="A51" s="187" t="s">
        <v>83</v>
      </c>
      <c r="B51" s="188" t="s">
        <v>1604</v>
      </c>
      <c r="C51" s="189" t="s">
        <v>112</v>
      </c>
      <c r="D51" s="189">
        <v>4.0000000000000008E-2</v>
      </c>
      <c r="E51" s="136">
        <f ca="1">OFFSET(INDEX(Composições!A:J,MATCH(Orçamentária!A51,Composições!A:A,0),8),2,0)</f>
        <v>16.311500000000002</v>
      </c>
      <c r="F51" s="137">
        <f t="shared" ca="1" si="0"/>
        <v>0.65246000000000026</v>
      </c>
      <c r="G51" s="138">
        <f>BDI!$B$17</f>
        <v>0.191</v>
      </c>
      <c r="H51" s="139">
        <f t="shared" ca="1" si="1"/>
        <v>19.43</v>
      </c>
      <c r="I51" s="137">
        <f t="shared" ca="1" si="2"/>
        <v>0.78</v>
      </c>
      <c r="K51" s="182"/>
    </row>
    <row r="52" spans="1:11" hidden="1" x14ac:dyDescent="0.25">
      <c r="A52" s="114" t="s">
        <v>1605</v>
      </c>
      <c r="B52" s="115" t="s">
        <v>1606</v>
      </c>
      <c r="C52" s="116" t="s">
        <v>20</v>
      </c>
      <c r="D52" s="116">
        <v>0</v>
      </c>
      <c r="E52" s="136" t="s">
        <v>572</v>
      </c>
      <c r="F52" s="137" t="str">
        <f t="shared" si="0"/>
        <v/>
      </c>
      <c r="G52" s="138" t="e">
        <f>IF(A52&lt;&gt;"",IF(AND(#REF!="Padrão",$H$4=#REF!),BDI!$B$17,IF(AND(#REF!="Padrão",$H$4=#REF!),BDI!#REF!,IF(AND(#REF!="Diferenciado",$H$4=#REF!),BDI!$E$17,IF(AND(#REF!="Diferenciado",$H$4=#REF!),BDI!#REF!,IF(#REF!="ZERO",0))))),"")</f>
        <v>#REF!</v>
      </c>
      <c r="H52" s="139" t="str">
        <f t="shared" si="1"/>
        <v/>
      </c>
      <c r="I52" s="137" t="str">
        <f t="shared" si="2"/>
        <v/>
      </c>
    </row>
    <row r="53" spans="1:11" hidden="1" x14ac:dyDescent="0.25">
      <c r="A53" s="114" t="s">
        <v>84</v>
      </c>
      <c r="B53" s="115" t="s">
        <v>1607</v>
      </c>
      <c r="C53" s="116" t="s">
        <v>1608</v>
      </c>
      <c r="D53" s="116">
        <v>0</v>
      </c>
      <c r="E53" s="136">
        <f ca="1">OFFSET(INDEX(Composições!A:J,MATCH(Orçamentária!A53,Composições!A:A,0),8),2,0)</f>
        <v>3.7905000000000002</v>
      </c>
      <c r="F53" s="137">
        <f t="shared" ca="1" si="0"/>
        <v>0</v>
      </c>
      <c r="G53" s="138" t="e">
        <f>IF(A53&lt;&gt;"",IF(AND(#REF!="Padrão",$H$4=#REF!),BDI!$B$17,IF(AND(#REF!="Padrão",$H$4=#REF!),BDI!#REF!,IF(AND(#REF!="Diferenciado",$H$4=#REF!),BDI!$E$17,IF(AND(#REF!="Diferenciado",$H$4=#REF!),BDI!#REF!,IF(#REF!="ZERO",0))))),"")</f>
        <v>#REF!</v>
      </c>
      <c r="H53" s="139" t="e">
        <f t="shared" ca="1" si="1"/>
        <v>#REF!</v>
      </c>
      <c r="I53" s="137" t="e">
        <f t="shared" ca="1" si="2"/>
        <v>#REF!</v>
      </c>
    </row>
    <row r="54" spans="1:11" hidden="1" x14ac:dyDescent="0.25">
      <c r="A54" s="114" t="s">
        <v>87</v>
      </c>
      <c r="B54" s="115" t="s">
        <v>1609</v>
      </c>
      <c r="C54" s="116" t="s">
        <v>1610</v>
      </c>
      <c r="D54" s="116">
        <v>0</v>
      </c>
      <c r="E54" s="136">
        <f ca="1">OFFSET(INDEX(Composições!A:J,MATCH(Orçamentária!A54,Composições!A:A,0),8),2,0)</f>
        <v>11.399999999999999</v>
      </c>
      <c r="F54" s="137">
        <f t="shared" ca="1" si="0"/>
        <v>0</v>
      </c>
      <c r="G54" s="138" t="e">
        <f>IF(A54&lt;&gt;"",IF(AND(#REF!="Padrão",$H$4=#REF!),BDI!$B$17,IF(AND(#REF!="Padrão",$H$4=#REF!),BDI!#REF!,IF(AND(#REF!="Diferenciado",$H$4=#REF!),BDI!$E$17,IF(AND(#REF!="Diferenciado",$H$4=#REF!),BDI!#REF!,IF(#REF!="ZERO",0))))),"")</f>
        <v>#REF!</v>
      </c>
      <c r="H54" s="139" t="e">
        <f t="shared" ca="1" si="1"/>
        <v>#REF!</v>
      </c>
      <c r="I54" s="137" t="e">
        <f t="shared" ca="1" si="2"/>
        <v>#REF!</v>
      </c>
    </row>
    <row r="55" spans="1:11" hidden="1" x14ac:dyDescent="0.25">
      <c r="A55" s="114" t="s">
        <v>1611</v>
      </c>
      <c r="B55" s="115" t="s">
        <v>1612</v>
      </c>
      <c r="C55" s="116" t="s">
        <v>94</v>
      </c>
      <c r="D55" s="116">
        <v>0</v>
      </c>
      <c r="E55" s="136" t="s">
        <v>572</v>
      </c>
      <c r="F55" s="137" t="str">
        <f t="shared" si="0"/>
        <v/>
      </c>
      <c r="G55" s="138" t="e">
        <f>IF(A55&lt;&gt;"",IF(AND(#REF!="Padrão",$H$4=#REF!),BDI!$B$17,IF(AND(#REF!="Padrão",$H$4=#REF!),BDI!#REF!,IF(AND(#REF!="Diferenciado",$H$4=#REF!),BDI!$E$17,IF(AND(#REF!="Diferenciado",$H$4=#REF!),BDI!#REF!,IF(#REF!="ZERO",0))))),"")</f>
        <v>#REF!</v>
      </c>
      <c r="H55" s="139" t="str">
        <f t="shared" si="1"/>
        <v/>
      </c>
      <c r="I55" s="137" t="str">
        <f t="shared" si="2"/>
        <v/>
      </c>
    </row>
    <row r="56" spans="1:11" hidden="1" x14ac:dyDescent="0.25">
      <c r="A56" s="114" t="s">
        <v>90</v>
      </c>
      <c r="B56" s="115" t="s">
        <v>1613</v>
      </c>
      <c r="C56" s="116" t="s">
        <v>94</v>
      </c>
      <c r="D56" s="116">
        <v>0</v>
      </c>
      <c r="E56" s="136">
        <f ca="1">OFFSET(INDEX(Composições!A:J,MATCH(Orçamentária!A56,Composições!A:A,0),8),2,0)</f>
        <v>4.9144449999999997</v>
      </c>
      <c r="F56" s="137">
        <f t="shared" ca="1" si="0"/>
        <v>0</v>
      </c>
      <c r="G56" s="138" t="e">
        <f>IF(A56&lt;&gt;"",IF(AND(#REF!="Padrão",$H$4=#REF!),BDI!$B$17,IF(AND(#REF!="Padrão",$H$4=#REF!),BDI!#REF!,IF(AND(#REF!="Diferenciado",$H$4=#REF!),BDI!$E$17,IF(AND(#REF!="Diferenciado",$H$4=#REF!),BDI!#REF!,IF(#REF!="ZERO",0))))),"")</f>
        <v>#REF!</v>
      </c>
      <c r="H56" s="139" t="e">
        <f t="shared" ca="1" si="1"/>
        <v>#REF!</v>
      </c>
      <c r="I56" s="137" t="e">
        <f t="shared" ca="1" si="2"/>
        <v>#REF!</v>
      </c>
    </row>
    <row r="57" spans="1:11" hidden="1" x14ac:dyDescent="0.25">
      <c r="A57" s="114" t="s">
        <v>1614</v>
      </c>
      <c r="B57" s="115" t="s">
        <v>1615</v>
      </c>
      <c r="C57" s="116" t="s">
        <v>20</v>
      </c>
      <c r="D57" s="116">
        <v>0</v>
      </c>
      <c r="E57" s="136" t="s">
        <v>572</v>
      </c>
      <c r="F57" s="137" t="str">
        <f t="shared" si="0"/>
        <v/>
      </c>
      <c r="G57" s="138" t="e">
        <f>IF(A57&lt;&gt;"",IF(AND(#REF!="Padrão",$H$4=#REF!),BDI!$B$17,IF(AND(#REF!="Padrão",$H$4=#REF!),BDI!#REF!,IF(AND(#REF!="Diferenciado",$H$4=#REF!),BDI!$E$17,IF(AND(#REF!="Diferenciado",$H$4=#REF!),BDI!#REF!,IF(#REF!="ZERO",0))))),"")</f>
        <v>#REF!</v>
      </c>
      <c r="H57" s="139" t="str">
        <f t="shared" si="1"/>
        <v/>
      </c>
      <c r="I57" s="137" t="str">
        <f t="shared" si="2"/>
        <v/>
      </c>
    </row>
    <row r="58" spans="1:11" hidden="1" x14ac:dyDescent="0.25">
      <c r="A58" s="114" t="s">
        <v>1616</v>
      </c>
      <c r="B58" s="115" t="s">
        <v>1617</v>
      </c>
      <c r="C58" s="116" t="s">
        <v>1610</v>
      </c>
      <c r="D58" s="116">
        <v>0</v>
      </c>
      <c r="E58" s="136" t="s">
        <v>572</v>
      </c>
      <c r="F58" s="137" t="str">
        <f t="shared" si="0"/>
        <v/>
      </c>
      <c r="G58" s="138" t="e">
        <f>IF(A58&lt;&gt;"",IF(AND(#REF!="Padrão",$H$4=#REF!),BDI!$B$17,IF(AND(#REF!="Padrão",$H$4=#REF!),BDI!#REF!,IF(AND(#REF!="Diferenciado",$H$4=#REF!),BDI!$E$17,IF(AND(#REF!="Diferenciado",$H$4=#REF!),BDI!#REF!,IF(#REF!="ZERO",0))))),"")</f>
        <v>#REF!</v>
      </c>
      <c r="H58" s="139" t="str">
        <f t="shared" si="1"/>
        <v/>
      </c>
      <c r="I58" s="137" t="str">
        <f t="shared" si="2"/>
        <v/>
      </c>
    </row>
    <row r="59" spans="1:11" hidden="1" x14ac:dyDescent="0.25">
      <c r="A59" s="114" t="s">
        <v>1618</v>
      </c>
      <c r="B59" s="115" t="s">
        <v>1619</v>
      </c>
      <c r="C59" s="116" t="s">
        <v>20</v>
      </c>
      <c r="D59" s="116">
        <v>0</v>
      </c>
      <c r="E59" s="136" t="s">
        <v>572</v>
      </c>
      <c r="F59" s="137" t="str">
        <f t="shared" si="0"/>
        <v/>
      </c>
      <c r="G59" s="138" t="e">
        <f>IF(A59&lt;&gt;"",IF(AND(#REF!="Padrão",$H$4=#REF!),BDI!$B$17,IF(AND(#REF!="Padrão",$H$4=#REF!),BDI!#REF!,IF(AND(#REF!="Diferenciado",$H$4=#REF!),BDI!$E$17,IF(AND(#REF!="Diferenciado",$H$4=#REF!),BDI!#REF!,IF(#REF!="ZERO",0))))),"")</f>
        <v>#REF!</v>
      </c>
      <c r="H59" s="139" t="str">
        <f t="shared" si="1"/>
        <v/>
      </c>
      <c r="I59" s="137" t="str">
        <f t="shared" si="2"/>
        <v/>
      </c>
    </row>
    <row r="60" spans="1:11" hidden="1" x14ac:dyDescent="0.25">
      <c r="A60" s="114" t="s">
        <v>1620</v>
      </c>
      <c r="B60" s="115" t="s">
        <v>1621</v>
      </c>
      <c r="C60" s="116" t="s">
        <v>1610</v>
      </c>
      <c r="D60" s="116">
        <v>0</v>
      </c>
      <c r="E60" s="136" t="s">
        <v>572</v>
      </c>
      <c r="F60" s="137" t="str">
        <f t="shared" si="0"/>
        <v/>
      </c>
      <c r="G60" s="138" t="e">
        <f>IF(A60&lt;&gt;"",IF(AND(#REF!="Padrão",$H$4=#REF!),BDI!$B$17,IF(AND(#REF!="Padrão",$H$4=#REF!),BDI!#REF!,IF(AND(#REF!="Diferenciado",$H$4=#REF!),BDI!$E$17,IF(AND(#REF!="Diferenciado",$H$4=#REF!),BDI!#REF!,IF(#REF!="ZERO",0))))),"")</f>
        <v>#REF!</v>
      </c>
      <c r="H60" s="139" t="str">
        <f t="shared" si="1"/>
        <v/>
      </c>
      <c r="I60" s="137" t="str">
        <f t="shared" si="2"/>
        <v/>
      </c>
    </row>
    <row r="61" spans="1:11" hidden="1" x14ac:dyDescent="0.25">
      <c r="A61" s="114" t="s">
        <v>1622</v>
      </c>
      <c r="B61" s="115" t="s">
        <v>1623</v>
      </c>
      <c r="C61" s="116" t="s">
        <v>20</v>
      </c>
      <c r="D61" s="116">
        <v>0</v>
      </c>
      <c r="E61" s="136" t="s">
        <v>572</v>
      </c>
      <c r="F61" s="137" t="str">
        <f t="shared" si="0"/>
        <v/>
      </c>
      <c r="G61" s="138" t="e">
        <f>IF(A61&lt;&gt;"",IF(AND(#REF!="Padrão",$H$4=#REF!),BDI!$B$17,IF(AND(#REF!="Padrão",$H$4=#REF!),BDI!#REF!,IF(AND(#REF!="Diferenciado",$H$4=#REF!),BDI!$E$17,IF(AND(#REF!="Diferenciado",$H$4=#REF!),BDI!#REF!,IF(#REF!="ZERO",0))))),"")</f>
        <v>#REF!</v>
      </c>
      <c r="H61" s="139" t="str">
        <f t="shared" si="1"/>
        <v/>
      </c>
      <c r="I61" s="137" t="str">
        <f t="shared" si="2"/>
        <v/>
      </c>
    </row>
    <row r="62" spans="1:11" ht="25.5" hidden="1" x14ac:dyDescent="0.25">
      <c r="A62" s="114" t="s">
        <v>93</v>
      </c>
      <c r="B62" s="115" t="s">
        <v>1624</v>
      </c>
      <c r="C62" s="116" t="s">
        <v>96</v>
      </c>
      <c r="D62" s="116">
        <v>0</v>
      </c>
      <c r="E62" s="136">
        <f ca="1">OFFSET(INDEX(Composições!A:J,MATCH(Orçamentária!A62,Composições!A:A,0),8),2,0)</f>
        <v>21.45195</v>
      </c>
      <c r="F62" s="137">
        <f t="shared" ca="1" si="0"/>
        <v>0</v>
      </c>
      <c r="G62" s="138" t="e">
        <f>IF(A62&lt;&gt;"",IF(AND(#REF!="Padrão",$H$4=#REF!),BDI!$B$17,IF(AND(#REF!="Padrão",$H$4=#REF!),BDI!#REF!,IF(AND(#REF!="Diferenciado",$H$4=#REF!),BDI!$E$17,IF(AND(#REF!="Diferenciado",$H$4=#REF!),BDI!#REF!,IF(#REF!="ZERO",0))))),"")</f>
        <v>#REF!</v>
      </c>
      <c r="H62" s="139" t="e">
        <f t="shared" ca="1" si="1"/>
        <v>#REF!</v>
      </c>
      <c r="I62" s="137" t="e">
        <f t="shared" ca="1" si="2"/>
        <v>#REF!</v>
      </c>
    </row>
    <row r="63" spans="1:11" hidden="1" x14ac:dyDescent="0.25">
      <c r="A63" s="114" t="s">
        <v>1625</v>
      </c>
      <c r="B63" s="115" t="s">
        <v>1626</v>
      </c>
      <c r="C63" s="116" t="s">
        <v>20</v>
      </c>
      <c r="D63" s="116">
        <v>0</v>
      </c>
      <c r="E63" s="136" t="s">
        <v>572</v>
      </c>
      <c r="F63" s="137" t="str">
        <f t="shared" si="0"/>
        <v/>
      </c>
      <c r="G63" s="138" t="e">
        <f>IF(A63&lt;&gt;"",IF(AND(#REF!="Padrão",$H$4=#REF!),BDI!$B$17,IF(AND(#REF!="Padrão",$H$4=#REF!),BDI!#REF!,IF(AND(#REF!="Diferenciado",$H$4=#REF!),BDI!$E$17,IF(AND(#REF!="Diferenciado",$H$4=#REF!),BDI!#REF!,IF(#REF!="ZERO",0))))),"")</f>
        <v>#REF!</v>
      </c>
      <c r="H63" s="139" t="str">
        <f t="shared" si="1"/>
        <v/>
      </c>
      <c r="I63" s="137" t="str">
        <f t="shared" si="2"/>
        <v/>
      </c>
    </row>
    <row r="64" spans="1:11" hidden="1" x14ac:dyDescent="0.25">
      <c r="A64" s="114" t="s">
        <v>1627</v>
      </c>
      <c r="B64" s="115" t="s">
        <v>1628</v>
      </c>
      <c r="C64" s="116" t="s">
        <v>20</v>
      </c>
      <c r="D64" s="116">
        <v>0</v>
      </c>
      <c r="E64" s="136" t="s">
        <v>572</v>
      </c>
      <c r="F64" s="137" t="str">
        <f t="shared" si="0"/>
        <v/>
      </c>
      <c r="G64" s="138" t="e">
        <f>IF(A64&lt;&gt;"",IF(AND(#REF!="Padrão",$H$4=#REF!),BDI!$B$17,IF(AND(#REF!="Padrão",$H$4=#REF!),BDI!#REF!,IF(AND(#REF!="Diferenciado",$H$4=#REF!),BDI!$E$17,IF(AND(#REF!="Diferenciado",$H$4=#REF!),BDI!#REF!,IF(#REF!="ZERO",0))))),"")</f>
        <v>#REF!</v>
      </c>
      <c r="H64" s="139" t="str">
        <f t="shared" si="1"/>
        <v/>
      </c>
      <c r="I64" s="137" t="str">
        <f t="shared" si="2"/>
        <v/>
      </c>
    </row>
    <row r="65" spans="1:11" hidden="1" x14ac:dyDescent="0.25">
      <c r="A65" s="114" t="s">
        <v>1629</v>
      </c>
      <c r="B65" s="115" t="s">
        <v>1630</v>
      </c>
      <c r="C65" s="116" t="s">
        <v>20</v>
      </c>
      <c r="D65" s="116">
        <v>0</v>
      </c>
      <c r="E65" s="136" t="s">
        <v>572</v>
      </c>
      <c r="F65" s="137" t="str">
        <f t="shared" si="0"/>
        <v/>
      </c>
      <c r="G65" s="138" t="e">
        <f>IF(A65&lt;&gt;"",IF(AND(#REF!="Padrão",$H$4=#REF!),BDI!$B$17,IF(AND(#REF!="Padrão",$H$4=#REF!),BDI!#REF!,IF(AND(#REF!="Diferenciado",$H$4=#REF!),BDI!$E$17,IF(AND(#REF!="Diferenciado",$H$4=#REF!),BDI!#REF!,IF(#REF!="ZERO",0))))),"")</f>
        <v>#REF!</v>
      </c>
      <c r="H65" s="139" t="str">
        <f t="shared" si="1"/>
        <v/>
      </c>
      <c r="I65" s="137" t="str">
        <f t="shared" si="2"/>
        <v/>
      </c>
    </row>
    <row r="66" spans="1:11" hidden="1" x14ac:dyDescent="0.25">
      <c r="A66" s="114" t="s">
        <v>1631</v>
      </c>
      <c r="B66" s="115" t="s">
        <v>1632</v>
      </c>
      <c r="C66" s="116" t="s">
        <v>20</v>
      </c>
      <c r="D66" s="116">
        <v>0</v>
      </c>
      <c r="E66" s="136" t="s">
        <v>572</v>
      </c>
      <c r="F66" s="137" t="str">
        <f t="shared" si="0"/>
        <v/>
      </c>
      <c r="G66" s="138" t="e">
        <f>IF(A66&lt;&gt;"",IF(AND(#REF!="Padrão",$H$4=#REF!),BDI!$B$17,IF(AND(#REF!="Padrão",$H$4=#REF!),BDI!#REF!,IF(AND(#REF!="Diferenciado",$H$4=#REF!),BDI!$E$17,IF(AND(#REF!="Diferenciado",$H$4=#REF!),BDI!#REF!,IF(#REF!="ZERO",0))))),"")</f>
        <v>#REF!</v>
      </c>
      <c r="H66" s="139" t="str">
        <f t="shared" si="1"/>
        <v/>
      </c>
      <c r="I66" s="137" t="str">
        <f t="shared" si="2"/>
        <v/>
      </c>
    </row>
    <row r="67" spans="1:11" hidden="1" x14ac:dyDescent="0.25">
      <c r="A67" s="114" t="s">
        <v>1633</v>
      </c>
      <c r="B67" s="115" t="s">
        <v>1634</v>
      </c>
      <c r="C67" s="116" t="s">
        <v>20</v>
      </c>
      <c r="D67" s="116">
        <v>0</v>
      </c>
      <c r="E67" s="136" t="s">
        <v>572</v>
      </c>
      <c r="F67" s="137" t="str">
        <f t="shared" si="0"/>
        <v/>
      </c>
      <c r="G67" s="138" t="e">
        <f>IF(A67&lt;&gt;"",IF(AND(#REF!="Padrão",$H$4=#REF!),BDI!$B$17,IF(AND(#REF!="Padrão",$H$4=#REF!),BDI!#REF!,IF(AND(#REF!="Diferenciado",$H$4=#REF!),BDI!$E$17,IF(AND(#REF!="Diferenciado",$H$4=#REF!),BDI!#REF!,IF(#REF!="ZERO",0))))),"")</f>
        <v>#REF!</v>
      </c>
      <c r="H67" s="139" t="str">
        <f t="shared" si="1"/>
        <v/>
      </c>
      <c r="I67" s="137" t="str">
        <f t="shared" si="2"/>
        <v/>
      </c>
    </row>
    <row r="68" spans="1:11" hidden="1" x14ac:dyDescent="0.25">
      <c r="A68" s="114" t="s">
        <v>1635</v>
      </c>
      <c r="B68" s="115" t="s">
        <v>1636</v>
      </c>
      <c r="C68" s="116" t="s">
        <v>1608</v>
      </c>
      <c r="D68" s="116">
        <v>0</v>
      </c>
      <c r="E68" s="136" t="s">
        <v>572</v>
      </c>
      <c r="F68" s="137" t="str">
        <f t="shared" si="0"/>
        <v/>
      </c>
      <c r="G68" s="138" t="e">
        <f>IF(A68&lt;&gt;"",IF(AND(#REF!="Padrão",$H$4=#REF!),BDI!$B$17,IF(AND(#REF!="Padrão",$H$4=#REF!),BDI!#REF!,IF(AND(#REF!="Diferenciado",$H$4=#REF!),BDI!$E$17,IF(AND(#REF!="Diferenciado",$H$4=#REF!),BDI!#REF!,IF(#REF!="ZERO",0))))),"")</f>
        <v>#REF!</v>
      </c>
      <c r="H68" s="139" t="str">
        <f t="shared" si="1"/>
        <v/>
      </c>
      <c r="I68" s="137" t="str">
        <f t="shared" si="2"/>
        <v/>
      </c>
    </row>
    <row r="69" spans="1:11" hidden="1" x14ac:dyDescent="0.25">
      <c r="A69" s="114" t="s">
        <v>1637</v>
      </c>
      <c r="B69" s="115" t="s">
        <v>1638</v>
      </c>
      <c r="C69" s="116" t="s">
        <v>20</v>
      </c>
      <c r="D69" s="116">
        <v>0</v>
      </c>
      <c r="E69" s="136" t="s">
        <v>572</v>
      </c>
      <c r="F69" s="137" t="str">
        <f t="shared" si="0"/>
        <v/>
      </c>
      <c r="G69" s="138" t="e">
        <f>IF(A69&lt;&gt;"",IF(AND(#REF!="Padrão",$H$4=#REF!),BDI!$B$17,IF(AND(#REF!="Padrão",$H$4=#REF!),BDI!#REF!,IF(AND(#REF!="Diferenciado",$H$4=#REF!),BDI!$E$17,IF(AND(#REF!="Diferenciado",$H$4=#REF!),BDI!#REF!,IF(#REF!="ZERO",0))))),"")</f>
        <v>#REF!</v>
      </c>
      <c r="H69" s="139" t="str">
        <f t="shared" si="1"/>
        <v/>
      </c>
      <c r="I69" s="137" t="str">
        <f t="shared" si="2"/>
        <v/>
      </c>
    </row>
    <row r="70" spans="1:11" hidden="1" x14ac:dyDescent="0.25">
      <c r="A70" s="114" t="s">
        <v>1639</v>
      </c>
      <c r="B70" s="115" t="s">
        <v>1640</v>
      </c>
      <c r="C70" s="116" t="s">
        <v>20</v>
      </c>
      <c r="D70" s="116">
        <v>0</v>
      </c>
      <c r="E70" s="136" t="s">
        <v>572</v>
      </c>
      <c r="F70" s="137" t="str">
        <f t="shared" si="0"/>
        <v/>
      </c>
      <c r="G70" s="138" t="e">
        <f>IF(A70&lt;&gt;"",IF(AND(#REF!="Padrão",$H$4=#REF!),BDI!$B$17,IF(AND(#REF!="Padrão",$H$4=#REF!),BDI!#REF!,IF(AND(#REF!="Diferenciado",$H$4=#REF!),BDI!$E$17,IF(AND(#REF!="Diferenciado",$H$4=#REF!),BDI!#REF!,IF(#REF!="ZERO",0))))),"")</f>
        <v>#REF!</v>
      </c>
      <c r="H70" s="139" t="str">
        <f t="shared" si="1"/>
        <v/>
      </c>
      <c r="I70" s="137" t="str">
        <f t="shared" si="2"/>
        <v/>
      </c>
    </row>
    <row r="71" spans="1:11" hidden="1" x14ac:dyDescent="0.25">
      <c r="A71" s="114" t="s">
        <v>1641</v>
      </c>
      <c r="B71" s="115" t="s">
        <v>1642</v>
      </c>
      <c r="C71" s="116" t="s">
        <v>20</v>
      </c>
      <c r="D71" s="116">
        <v>0</v>
      </c>
      <c r="E71" s="136" t="s">
        <v>572</v>
      </c>
      <c r="F71" s="137" t="str">
        <f t="shared" ref="F71:F134" si="3">IF(ISNUMBER(E71),D71*E71,"")</f>
        <v/>
      </c>
      <c r="G71" s="138" t="e">
        <f>IF(A71&lt;&gt;"",IF(AND(#REF!="Padrão",$H$4=#REF!),BDI!$B$17,IF(AND(#REF!="Padrão",$H$4=#REF!),BDI!#REF!,IF(AND(#REF!="Diferenciado",$H$4=#REF!),BDI!$E$17,IF(AND(#REF!="Diferenciado",$H$4=#REF!),BDI!#REF!,IF(#REF!="ZERO",0))))),"")</f>
        <v>#REF!</v>
      </c>
      <c r="H71" s="139" t="str">
        <f t="shared" ref="H71:H134" si="4">IF(ISNUMBER(E71),ROUND(E71*(1+G71),2),"")</f>
        <v/>
      </c>
      <c r="I71" s="137" t="str">
        <f t="shared" ref="I71:I134" si="5">IF(ISNUMBER(E71),ROUND(H71*D71,2),"")</f>
        <v/>
      </c>
    </row>
    <row r="72" spans="1:11" hidden="1" x14ac:dyDescent="0.25">
      <c r="A72" s="114" t="s">
        <v>1643</v>
      </c>
      <c r="B72" s="115" t="s">
        <v>1644</v>
      </c>
      <c r="C72" s="116" t="s">
        <v>1645</v>
      </c>
      <c r="D72" s="116">
        <v>0</v>
      </c>
      <c r="E72" s="136" t="s">
        <v>572</v>
      </c>
      <c r="F72" s="137" t="str">
        <f t="shared" si="3"/>
        <v/>
      </c>
      <c r="G72" s="138" t="e">
        <f>IF(A72&lt;&gt;"",IF(AND(#REF!="Padrão",$H$4=#REF!),BDI!$B$17,IF(AND(#REF!="Padrão",$H$4=#REF!),BDI!#REF!,IF(AND(#REF!="Diferenciado",$H$4=#REF!),BDI!$E$17,IF(AND(#REF!="Diferenciado",$H$4=#REF!),BDI!#REF!,IF(#REF!="ZERO",0))))),"")</f>
        <v>#REF!</v>
      </c>
      <c r="H72" s="139" t="str">
        <f t="shared" si="4"/>
        <v/>
      </c>
      <c r="I72" s="137" t="str">
        <f t="shared" si="5"/>
        <v/>
      </c>
    </row>
    <row r="73" spans="1:11" hidden="1" x14ac:dyDescent="0.25">
      <c r="A73" s="114" t="s">
        <v>1646</v>
      </c>
      <c r="B73" s="115" t="s">
        <v>1647</v>
      </c>
      <c r="C73" s="116" t="s">
        <v>1610</v>
      </c>
      <c r="D73" s="116">
        <v>0</v>
      </c>
      <c r="E73" s="136" t="s">
        <v>572</v>
      </c>
      <c r="F73" s="137" t="str">
        <f t="shared" si="3"/>
        <v/>
      </c>
      <c r="G73" s="138" t="e">
        <f>IF(A73&lt;&gt;"",IF(AND(#REF!="Padrão",$H$4=#REF!),BDI!$B$17,IF(AND(#REF!="Padrão",$H$4=#REF!),BDI!#REF!,IF(AND(#REF!="Diferenciado",$H$4=#REF!),BDI!$E$17,IF(AND(#REF!="Diferenciado",$H$4=#REF!),BDI!#REF!,IF(#REF!="ZERO",0))))),"")</f>
        <v>#REF!</v>
      </c>
      <c r="H73" s="139" t="str">
        <f t="shared" si="4"/>
        <v/>
      </c>
      <c r="I73" s="137" t="str">
        <f t="shared" si="5"/>
        <v/>
      </c>
    </row>
    <row r="74" spans="1:11" hidden="1" x14ac:dyDescent="0.25">
      <c r="A74" s="114" t="s">
        <v>1648</v>
      </c>
      <c r="B74" s="115" t="s">
        <v>1649</v>
      </c>
      <c r="C74" s="116" t="s">
        <v>20</v>
      </c>
      <c r="D74" s="116">
        <v>0</v>
      </c>
      <c r="E74" s="136" t="s">
        <v>572</v>
      </c>
      <c r="F74" s="137" t="str">
        <f t="shared" si="3"/>
        <v/>
      </c>
      <c r="G74" s="138" t="e">
        <f>IF(A74&lt;&gt;"",IF(AND(#REF!="Padrão",$H$4=#REF!),BDI!$B$17,IF(AND(#REF!="Padrão",$H$4=#REF!),BDI!#REF!,IF(AND(#REF!="Diferenciado",$H$4=#REF!),BDI!$E$17,IF(AND(#REF!="Diferenciado",$H$4=#REF!),BDI!#REF!,IF(#REF!="ZERO",0))))),"")</f>
        <v>#REF!</v>
      </c>
      <c r="H74" s="139" t="str">
        <f t="shared" si="4"/>
        <v/>
      </c>
      <c r="I74" s="137" t="str">
        <f t="shared" si="5"/>
        <v/>
      </c>
    </row>
    <row r="75" spans="1:11" hidden="1" x14ac:dyDescent="0.25">
      <c r="A75" s="114" t="s">
        <v>97</v>
      </c>
      <c r="B75" s="115" t="s">
        <v>1650</v>
      </c>
      <c r="C75" s="116" t="s">
        <v>96</v>
      </c>
      <c r="D75" s="116">
        <v>0</v>
      </c>
      <c r="E75" s="136">
        <f ca="1">OFFSET(INDEX(Composições!A:J,MATCH(Orçamentária!A75,Composições!A:A,0),8),2,0)</f>
        <v>58.946298249999991</v>
      </c>
      <c r="F75" s="137">
        <f t="shared" ca="1" si="3"/>
        <v>0</v>
      </c>
      <c r="G75" s="138" t="e">
        <f>IF(A75&lt;&gt;"",IF(AND(#REF!="Padrão",$H$4=#REF!),BDI!$B$17,IF(AND(#REF!="Padrão",$H$4=#REF!),BDI!#REF!,IF(AND(#REF!="Diferenciado",$H$4=#REF!),BDI!$E$17,IF(AND(#REF!="Diferenciado",$H$4=#REF!),BDI!#REF!,IF(#REF!="ZERO",0))))),"")</f>
        <v>#REF!</v>
      </c>
      <c r="H75" s="139" t="e">
        <f t="shared" ca="1" si="4"/>
        <v>#REF!</v>
      </c>
      <c r="I75" s="137" t="e">
        <f t="shared" ca="1" si="5"/>
        <v>#REF!</v>
      </c>
    </row>
    <row r="76" spans="1:11" hidden="1" x14ac:dyDescent="0.25">
      <c r="A76" s="114" t="s">
        <v>1651</v>
      </c>
      <c r="B76" s="115" t="s">
        <v>1652</v>
      </c>
      <c r="C76" s="116" t="s">
        <v>20</v>
      </c>
      <c r="D76" s="116">
        <v>0</v>
      </c>
      <c r="E76" s="136" t="s">
        <v>572</v>
      </c>
      <c r="F76" s="137" t="str">
        <f t="shared" si="3"/>
        <v/>
      </c>
      <c r="G76" s="138" t="e">
        <f>IF(A76&lt;&gt;"",IF(AND(#REF!="Padrão",$H$4=#REF!),BDI!$B$17,IF(AND(#REF!="Padrão",$H$4=#REF!),BDI!#REF!,IF(AND(#REF!="Diferenciado",$H$4=#REF!),BDI!$E$17,IF(AND(#REF!="Diferenciado",$H$4=#REF!),BDI!#REF!,IF(#REF!="ZERO",0))))),"")</f>
        <v>#REF!</v>
      </c>
      <c r="H76" s="139" t="str">
        <f t="shared" si="4"/>
        <v/>
      </c>
      <c r="I76" s="137" t="str">
        <f t="shared" si="5"/>
        <v/>
      </c>
    </row>
    <row r="77" spans="1:11" hidden="1" x14ac:dyDescent="0.25">
      <c r="A77" s="114" t="s">
        <v>1653</v>
      </c>
      <c r="B77" s="115" t="s">
        <v>1654</v>
      </c>
      <c r="C77" s="116" t="s">
        <v>20</v>
      </c>
      <c r="D77" s="116">
        <v>0</v>
      </c>
      <c r="E77" s="136" t="s">
        <v>572</v>
      </c>
      <c r="F77" s="137" t="str">
        <f t="shared" si="3"/>
        <v/>
      </c>
      <c r="G77" s="138" t="e">
        <f>IF(A77&lt;&gt;"",IF(AND(#REF!="Padrão",$H$4=#REF!),BDI!$B$17,IF(AND(#REF!="Padrão",$H$4=#REF!),BDI!#REF!,IF(AND(#REF!="Diferenciado",$H$4=#REF!),BDI!$E$17,IF(AND(#REF!="Diferenciado",$H$4=#REF!),BDI!#REF!,IF(#REF!="ZERO",0))))),"")</f>
        <v>#REF!</v>
      </c>
      <c r="H77" s="139" t="str">
        <f t="shared" si="4"/>
        <v/>
      </c>
      <c r="I77" s="137" t="str">
        <f t="shared" si="5"/>
        <v/>
      </c>
    </row>
    <row r="78" spans="1:11" x14ac:dyDescent="0.25">
      <c r="A78" s="187" t="s">
        <v>108</v>
      </c>
      <c r="B78" s="188" t="s">
        <v>1655</v>
      </c>
      <c r="C78" s="189" t="s">
        <v>96</v>
      </c>
      <c r="D78" s="189">
        <v>201.4</v>
      </c>
      <c r="E78" s="136">
        <f ca="1">OFFSET(INDEX(Composições!A:J,MATCH(Orçamentária!A78,Composições!A:A,0),8),2,0)</f>
        <v>1.9900030000000002</v>
      </c>
      <c r="F78" s="137">
        <f t="shared" ca="1" si="3"/>
        <v>400.78660420000006</v>
      </c>
      <c r="G78" s="138">
        <f>BDI!$B$17</f>
        <v>0.191</v>
      </c>
      <c r="H78" s="139">
        <f t="shared" ca="1" si="4"/>
        <v>2.37</v>
      </c>
      <c r="I78" s="137">
        <f t="shared" ca="1" si="5"/>
        <v>477.32</v>
      </c>
      <c r="K78" s="182"/>
    </row>
    <row r="79" spans="1:11" hidden="1" x14ac:dyDescent="0.25">
      <c r="A79" s="114" t="s">
        <v>109</v>
      </c>
      <c r="B79" s="115" t="s">
        <v>1656</v>
      </c>
      <c r="C79" s="116" t="s">
        <v>94</v>
      </c>
      <c r="D79" s="116">
        <v>0</v>
      </c>
      <c r="E79" s="136">
        <f ca="1">OFFSET(INDEX(Composições!A:J,MATCH(Orçamentária!A79,Composições!A:A,0),8),2,0)</f>
        <v>16.317289953847002</v>
      </c>
      <c r="F79" s="137">
        <f t="shared" ca="1" si="3"/>
        <v>0</v>
      </c>
      <c r="G79" s="138" t="e">
        <f>IF(A79&lt;&gt;"",IF(AND(#REF!="Padrão",$H$4=#REF!),BDI!$B$17,IF(AND(#REF!="Padrão",$H$4=#REF!),BDI!#REF!,IF(AND(#REF!="Diferenciado",$H$4=#REF!),BDI!$E$17,IF(AND(#REF!="Diferenciado",$H$4=#REF!),BDI!#REF!,IF(#REF!="ZERO",0))))),"")</f>
        <v>#REF!</v>
      </c>
      <c r="H79" s="139" t="e">
        <f t="shared" ca="1" si="4"/>
        <v>#REF!</v>
      </c>
      <c r="I79" s="137" t="e">
        <f t="shared" ca="1" si="5"/>
        <v>#REF!</v>
      </c>
    </row>
    <row r="80" spans="1:11" hidden="1" x14ac:dyDescent="0.25">
      <c r="A80" s="114" t="s">
        <v>113</v>
      </c>
      <c r="B80" s="115" t="s">
        <v>1657</v>
      </c>
      <c r="C80" s="116" t="s">
        <v>20</v>
      </c>
      <c r="D80" s="116">
        <v>0</v>
      </c>
      <c r="E80" s="136">
        <f ca="1">OFFSET(INDEX(Composições!A:J,MATCH(Orçamentária!A80,Composições!A:A,0),8),2,0)</f>
        <v>81.712064999999996</v>
      </c>
      <c r="F80" s="137">
        <f t="shared" ca="1" si="3"/>
        <v>0</v>
      </c>
      <c r="G80" s="138" t="e">
        <f>IF(A80&lt;&gt;"",IF(AND(#REF!="Padrão",$H$4=#REF!),BDI!$B$17,IF(AND(#REF!="Padrão",$H$4=#REF!),BDI!#REF!,IF(AND(#REF!="Diferenciado",$H$4=#REF!),BDI!$E$17,IF(AND(#REF!="Diferenciado",$H$4=#REF!),BDI!#REF!,IF(#REF!="ZERO",0))))),"")</f>
        <v>#REF!</v>
      </c>
      <c r="H80" s="139" t="e">
        <f t="shared" ca="1" si="4"/>
        <v>#REF!</v>
      </c>
      <c r="I80" s="137" t="e">
        <f t="shared" ca="1" si="5"/>
        <v>#REF!</v>
      </c>
    </row>
    <row r="81" spans="1:11" hidden="1" x14ac:dyDescent="0.25">
      <c r="A81" s="114" t="s">
        <v>114</v>
      </c>
      <c r="B81" s="115" t="s">
        <v>1658</v>
      </c>
      <c r="C81" s="116" t="s">
        <v>20</v>
      </c>
      <c r="D81" s="116">
        <v>0</v>
      </c>
      <c r="E81" s="136">
        <f ca="1">OFFSET(INDEX(Composições!A:J,MATCH(Orçamentária!A81,Composições!A:A,0),8),2,0)</f>
        <v>104.363922</v>
      </c>
      <c r="F81" s="137">
        <f t="shared" ca="1" si="3"/>
        <v>0</v>
      </c>
      <c r="G81" s="138" t="e">
        <f>IF(A81&lt;&gt;"",IF(AND(#REF!="Padrão",$H$4=#REF!),BDI!$B$17,IF(AND(#REF!="Padrão",$H$4=#REF!),BDI!#REF!,IF(AND(#REF!="Diferenciado",$H$4=#REF!),BDI!$E$17,IF(AND(#REF!="Diferenciado",$H$4=#REF!),BDI!#REF!,IF(#REF!="ZERO",0))))),"")</f>
        <v>#REF!</v>
      </c>
      <c r="H81" s="139" t="e">
        <f t="shared" ca="1" si="4"/>
        <v>#REF!</v>
      </c>
      <c r="I81" s="137" t="e">
        <f t="shared" ca="1" si="5"/>
        <v>#REF!</v>
      </c>
    </row>
    <row r="82" spans="1:11" hidden="1" x14ac:dyDescent="0.25">
      <c r="A82" s="114" t="s">
        <v>115</v>
      </c>
      <c r="B82" s="115" t="s">
        <v>1659</v>
      </c>
      <c r="C82" s="116" t="s">
        <v>112</v>
      </c>
      <c r="D82" s="116">
        <v>0</v>
      </c>
      <c r="E82" s="136">
        <f ca="1">OFFSET(INDEX(Composições!A:J,MATCH(Orçamentária!A82,Composições!A:A,0),8),2,0)</f>
        <v>565.53847735720001</v>
      </c>
      <c r="F82" s="137">
        <f t="shared" ca="1" si="3"/>
        <v>0</v>
      </c>
      <c r="G82" s="138" t="e">
        <f>IF(A82&lt;&gt;"",IF(AND(#REF!="Padrão",$H$4=#REF!),BDI!$B$17,IF(AND(#REF!="Padrão",$H$4=#REF!),BDI!#REF!,IF(AND(#REF!="Diferenciado",$H$4=#REF!),BDI!$E$17,IF(AND(#REF!="Diferenciado",$H$4=#REF!),BDI!#REF!,IF(#REF!="ZERO",0))))),"")</f>
        <v>#REF!</v>
      </c>
      <c r="H82" s="139" t="e">
        <f t="shared" ca="1" si="4"/>
        <v>#REF!</v>
      </c>
      <c r="I82" s="137" t="e">
        <f t="shared" ca="1" si="5"/>
        <v>#REF!</v>
      </c>
    </row>
    <row r="83" spans="1:11" hidden="1" x14ac:dyDescent="0.25">
      <c r="A83" s="114" t="s">
        <v>128</v>
      </c>
      <c r="B83" s="115" t="s">
        <v>1660</v>
      </c>
      <c r="C83" s="116" t="s">
        <v>112</v>
      </c>
      <c r="D83" s="116">
        <v>0</v>
      </c>
      <c r="E83" s="136">
        <f ca="1">OFFSET(INDEX(Composições!A:J,MATCH(Orçamentária!A83,Composições!A:A,0),8),2,0)</f>
        <v>598.95457492779985</v>
      </c>
      <c r="F83" s="137">
        <f t="shared" ca="1" si="3"/>
        <v>0</v>
      </c>
      <c r="G83" s="138" t="e">
        <f>IF(A83&lt;&gt;"",IF(AND(#REF!="Padrão",$H$4=#REF!),BDI!$B$17,IF(AND(#REF!="Padrão",$H$4=#REF!),BDI!#REF!,IF(AND(#REF!="Diferenciado",$H$4=#REF!),BDI!$E$17,IF(AND(#REF!="Diferenciado",$H$4=#REF!),BDI!#REF!,IF(#REF!="ZERO",0))))),"")</f>
        <v>#REF!</v>
      </c>
      <c r="H83" s="139" t="e">
        <f t="shared" ca="1" si="4"/>
        <v>#REF!</v>
      </c>
      <c r="I83" s="137" t="e">
        <f t="shared" ca="1" si="5"/>
        <v>#REF!</v>
      </c>
    </row>
    <row r="84" spans="1:11" hidden="1" x14ac:dyDescent="0.25">
      <c r="A84" s="114" t="s">
        <v>129</v>
      </c>
      <c r="B84" s="115" t="s">
        <v>1661</v>
      </c>
      <c r="C84" s="116" t="s">
        <v>1608</v>
      </c>
      <c r="D84" s="116">
        <v>0</v>
      </c>
      <c r="E84" s="136">
        <f ca="1">OFFSET(INDEX(Composições!A:J,MATCH(Orçamentária!A84,Composições!A:A,0),8),2,0)</f>
        <v>14.386324999999999</v>
      </c>
      <c r="F84" s="137">
        <f t="shared" ca="1" si="3"/>
        <v>0</v>
      </c>
      <c r="G84" s="138" t="e">
        <f>IF(A84&lt;&gt;"",IF(AND(#REF!="Padrão",$H$4=#REF!),BDI!$B$17,IF(AND(#REF!="Padrão",$H$4=#REF!),BDI!#REF!,IF(AND(#REF!="Diferenciado",$H$4=#REF!),BDI!$E$17,IF(AND(#REF!="Diferenciado",$H$4=#REF!),BDI!#REF!,IF(#REF!="ZERO",0))))),"")</f>
        <v>#REF!</v>
      </c>
      <c r="H84" s="139" t="e">
        <f t="shared" ca="1" si="4"/>
        <v>#REF!</v>
      </c>
      <c r="I84" s="137" t="e">
        <f t="shared" ca="1" si="5"/>
        <v>#REF!</v>
      </c>
    </row>
    <row r="85" spans="1:11" hidden="1" x14ac:dyDescent="0.25">
      <c r="A85" s="114" t="s">
        <v>133</v>
      </c>
      <c r="B85" s="115" t="s">
        <v>1662</v>
      </c>
      <c r="C85" s="116" t="s">
        <v>42</v>
      </c>
      <c r="D85" s="116">
        <v>0</v>
      </c>
      <c r="E85" s="136">
        <f ca="1">OFFSET(INDEX(Composições!A:J,MATCH(Orçamentária!A85,Composições!A:A,0),8),2,0)</f>
        <v>12.261555</v>
      </c>
      <c r="F85" s="137">
        <f t="shared" ca="1" si="3"/>
        <v>0</v>
      </c>
      <c r="G85" s="138" t="e">
        <f>IF(A85&lt;&gt;"",IF(AND(#REF!="Padrão",$H$4=#REF!),BDI!$B$17,IF(AND(#REF!="Padrão",$H$4=#REF!),BDI!#REF!,IF(AND(#REF!="Diferenciado",$H$4=#REF!),BDI!$E$17,IF(AND(#REF!="Diferenciado",$H$4=#REF!),BDI!#REF!,IF(#REF!="ZERO",0))))),"")</f>
        <v>#REF!</v>
      </c>
      <c r="H85" s="139" t="e">
        <f t="shared" ca="1" si="4"/>
        <v>#REF!</v>
      </c>
      <c r="I85" s="137" t="e">
        <f t="shared" ca="1" si="5"/>
        <v>#REF!</v>
      </c>
    </row>
    <row r="86" spans="1:11" hidden="1" x14ac:dyDescent="0.25">
      <c r="A86" s="114" t="s">
        <v>144</v>
      </c>
      <c r="B86" s="115" t="s">
        <v>1663</v>
      </c>
      <c r="C86" s="116" t="s">
        <v>96</v>
      </c>
      <c r="D86" s="116">
        <v>0</v>
      </c>
      <c r="E86" s="136">
        <f ca="1">OFFSET(INDEX(Composições!A:J,MATCH(Orçamentária!A86,Composições!A:A,0),8),2,0)</f>
        <v>138.83212948650001</v>
      </c>
      <c r="F86" s="137">
        <f t="shared" ca="1" si="3"/>
        <v>0</v>
      </c>
      <c r="G86" s="138" t="e">
        <f>IF(A86&lt;&gt;"",IF(AND(#REF!="Padrão",$H$4=#REF!),BDI!$B$17,IF(AND(#REF!="Padrão",$H$4=#REF!),BDI!#REF!,IF(AND(#REF!="Diferenciado",$H$4=#REF!),BDI!$E$17,IF(AND(#REF!="Diferenciado",$H$4=#REF!),BDI!#REF!,IF(#REF!="ZERO",0))))),"")</f>
        <v>#REF!</v>
      </c>
      <c r="H86" s="139" t="e">
        <f t="shared" ca="1" si="4"/>
        <v>#REF!</v>
      </c>
      <c r="I86" s="137" t="e">
        <f t="shared" ca="1" si="5"/>
        <v>#REF!</v>
      </c>
    </row>
    <row r="87" spans="1:11" hidden="1" x14ac:dyDescent="0.25">
      <c r="A87" s="114" t="s">
        <v>146</v>
      </c>
      <c r="B87" s="115" t="s">
        <v>1664</v>
      </c>
      <c r="C87" s="116" t="s">
        <v>94</v>
      </c>
      <c r="D87" s="116">
        <v>0</v>
      </c>
      <c r="E87" s="136">
        <f ca="1">OFFSET(INDEX(Composições!A:J,MATCH(Orçamentária!A87,Composições!A:A,0),8),2,0)</f>
        <v>21.561786890999997</v>
      </c>
      <c r="F87" s="137">
        <f t="shared" ca="1" si="3"/>
        <v>0</v>
      </c>
      <c r="G87" s="138" t="e">
        <f>IF(A87&lt;&gt;"",IF(AND(#REF!="Padrão",$H$4=#REF!),BDI!$B$17,IF(AND(#REF!="Padrão",$H$4=#REF!),BDI!#REF!,IF(AND(#REF!="Diferenciado",$H$4=#REF!),BDI!$E$17,IF(AND(#REF!="Diferenciado",$H$4=#REF!),BDI!#REF!,IF(#REF!="ZERO",0))))),"")</f>
        <v>#REF!</v>
      </c>
      <c r="H87" s="139" t="e">
        <f t="shared" ca="1" si="4"/>
        <v>#REF!</v>
      </c>
      <c r="I87" s="137" t="e">
        <f t="shared" ca="1" si="5"/>
        <v>#REF!</v>
      </c>
    </row>
    <row r="88" spans="1:11" hidden="1" x14ac:dyDescent="0.25">
      <c r="A88" s="114" t="s">
        <v>152</v>
      </c>
      <c r="B88" s="115" t="s">
        <v>1665</v>
      </c>
      <c r="C88" s="116" t="s">
        <v>96</v>
      </c>
      <c r="D88" s="116">
        <v>0</v>
      </c>
      <c r="E88" s="136">
        <f ca="1">OFFSET(INDEX(Composições!A:J,MATCH(Orçamentária!A88,Composições!A:A,0),8),2,0)</f>
        <v>22.415364</v>
      </c>
      <c r="F88" s="137">
        <f t="shared" ca="1" si="3"/>
        <v>0</v>
      </c>
      <c r="G88" s="138" t="e">
        <f>IF(A88&lt;&gt;"",IF(AND(#REF!="Padrão",$H$4=#REF!),BDI!$B$17,IF(AND(#REF!="Padrão",$H$4=#REF!),BDI!#REF!,IF(AND(#REF!="Diferenciado",$H$4=#REF!),BDI!$E$17,IF(AND(#REF!="Diferenciado",$H$4=#REF!),BDI!#REF!,IF(#REF!="ZERO",0))))),"")</f>
        <v>#REF!</v>
      </c>
      <c r="H88" s="139" t="e">
        <f t="shared" ca="1" si="4"/>
        <v>#REF!</v>
      </c>
      <c r="I88" s="137" t="e">
        <f t="shared" ca="1" si="5"/>
        <v>#REF!</v>
      </c>
    </row>
    <row r="89" spans="1:11" x14ac:dyDescent="0.25">
      <c r="A89" s="187" t="s">
        <v>155</v>
      </c>
      <c r="B89" s="188" t="s">
        <v>1666</v>
      </c>
      <c r="C89" s="189" t="s">
        <v>96</v>
      </c>
      <c r="D89" s="189">
        <v>0.52000000000000013</v>
      </c>
      <c r="E89" s="136">
        <f ca="1">OFFSET(INDEX(Composições!A:J,MATCH(Orçamentária!A89,Composições!A:A,0),8),2,0)</f>
        <v>68.71591648023761</v>
      </c>
      <c r="F89" s="137">
        <f t="shared" ca="1" si="3"/>
        <v>35.732276569723567</v>
      </c>
      <c r="G89" s="138">
        <f>BDI!$B$17</f>
        <v>0.191</v>
      </c>
      <c r="H89" s="139">
        <f t="shared" ca="1" si="4"/>
        <v>81.84</v>
      </c>
      <c r="I89" s="137">
        <f t="shared" ca="1" si="5"/>
        <v>42.56</v>
      </c>
      <c r="K89" s="182"/>
    </row>
    <row r="90" spans="1:11" hidden="1" x14ac:dyDescent="0.25">
      <c r="A90" s="114" t="s">
        <v>161</v>
      </c>
      <c r="B90" s="115" t="s">
        <v>1667</v>
      </c>
      <c r="C90" s="116" t="s">
        <v>96</v>
      </c>
      <c r="D90" s="116">
        <v>0</v>
      </c>
      <c r="E90" s="136">
        <f ca="1">OFFSET(INDEX(Composições!A:J,MATCH(Orçamentária!A90,Composições!A:A,0),8),2,0)</f>
        <v>46.912794550000001</v>
      </c>
      <c r="F90" s="137">
        <f t="shared" ca="1" si="3"/>
        <v>0</v>
      </c>
      <c r="G90" s="138" t="e">
        <f>IF(A90&lt;&gt;"",IF(AND(#REF!="Padrão",$H$4=#REF!),BDI!$B$17,IF(AND(#REF!="Padrão",$H$4=#REF!),BDI!#REF!,IF(AND(#REF!="Diferenciado",$H$4=#REF!),BDI!$E$17,IF(AND(#REF!="Diferenciado",$H$4=#REF!),BDI!#REF!,IF(#REF!="ZERO",0))))),"")</f>
        <v>#REF!</v>
      </c>
      <c r="H90" s="139" t="e">
        <f t="shared" ca="1" si="4"/>
        <v>#REF!</v>
      </c>
      <c r="I90" s="137" t="e">
        <f t="shared" ca="1" si="5"/>
        <v>#REF!</v>
      </c>
    </row>
    <row r="91" spans="1:11" hidden="1" x14ac:dyDescent="0.25">
      <c r="A91" s="114" t="s">
        <v>169</v>
      </c>
      <c r="B91" s="115" t="s">
        <v>1668</v>
      </c>
      <c r="C91" s="116" t="s">
        <v>94</v>
      </c>
      <c r="D91" s="116">
        <v>0</v>
      </c>
      <c r="E91" s="136">
        <f ca="1">OFFSET(INDEX(Composições!A:J,MATCH(Orçamentária!A91,Composições!A:A,0),8),2,0)</f>
        <v>23.0120890648552</v>
      </c>
      <c r="F91" s="137">
        <f t="shared" ca="1" si="3"/>
        <v>0</v>
      </c>
      <c r="G91" s="138" t="e">
        <f>IF(A91&lt;&gt;"",IF(AND(#REF!="Padrão",$H$4=#REF!),BDI!$B$17,IF(AND(#REF!="Padrão",$H$4=#REF!),BDI!#REF!,IF(AND(#REF!="Diferenciado",$H$4=#REF!),BDI!$E$17,IF(AND(#REF!="Diferenciado",$H$4=#REF!),BDI!#REF!,IF(#REF!="ZERO",0))))),"")</f>
        <v>#REF!</v>
      </c>
      <c r="H91" s="139" t="e">
        <f t="shared" ca="1" si="4"/>
        <v>#REF!</v>
      </c>
      <c r="I91" s="137" t="e">
        <f t="shared" ca="1" si="5"/>
        <v>#REF!</v>
      </c>
    </row>
    <row r="92" spans="1:11" hidden="1" x14ac:dyDescent="0.25">
      <c r="A92" s="114" t="s">
        <v>171</v>
      </c>
      <c r="B92" s="115" t="s">
        <v>1669</v>
      </c>
      <c r="C92" s="116" t="s">
        <v>96</v>
      </c>
      <c r="D92" s="116">
        <v>0</v>
      </c>
      <c r="E92" s="136">
        <f ca="1">OFFSET(INDEX(Composições!A:J,MATCH(Orçamentária!A92,Composições!A:A,0),8),2,0)</f>
        <v>65.05954539999999</v>
      </c>
      <c r="F92" s="137">
        <f t="shared" ca="1" si="3"/>
        <v>0</v>
      </c>
      <c r="G92" s="138" t="e">
        <f>IF(A92&lt;&gt;"",IF(AND(#REF!="Padrão",$H$4=#REF!),BDI!$B$17,IF(AND(#REF!="Padrão",$H$4=#REF!),BDI!#REF!,IF(AND(#REF!="Diferenciado",$H$4=#REF!),BDI!$E$17,IF(AND(#REF!="Diferenciado",$H$4=#REF!),BDI!#REF!,IF(#REF!="ZERO",0))))),"")</f>
        <v>#REF!</v>
      </c>
      <c r="H92" s="139" t="e">
        <f t="shared" ca="1" si="4"/>
        <v>#REF!</v>
      </c>
      <c r="I92" s="137" t="e">
        <f t="shared" ca="1" si="5"/>
        <v>#REF!</v>
      </c>
    </row>
    <row r="93" spans="1:11" hidden="1" x14ac:dyDescent="0.25">
      <c r="A93" s="114" t="s">
        <v>179</v>
      </c>
      <c r="B93" s="115" t="s">
        <v>1670</v>
      </c>
      <c r="C93" s="116" t="s">
        <v>96</v>
      </c>
      <c r="D93" s="116">
        <v>0</v>
      </c>
      <c r="E93" s="136">
        <f ca="1">OFFSET(INDEX(Composições!A:J,MATCH(Orçamentária!A93,Composições!A:A,0),8),2,0)</f>
        <v>4.4630562999999999</v>
      </c>
      <c r="F93" s="137">
        <f t="shared" ca="1" si="3"/>
        <v>0</v>
      </c>
      <c r="G93" s="138" t="e">
        <f>IF(A93&lt;&gt;"",IF(AND(#REF!="Padrão",$H$4=#REF!),BDI!$B$17,IF(AND(#REF!="Padrão",$H$4=#REF!),BDI!#REF!,IF(AND(#REF!="Diferenciado",$H$4=#REF!),BDI!$E$17,IF(AND(#REF!="Diferenciado",$H$4=#REF!),BDI!#REF!,IF(#REF!="ZERO",0))))),"")</f>
        <v>#REF!</v>
      </c>
      <c r="H93" s="139" t="e">
        <f t="shared" ca="1" si="4"/>
        <v>#REF!</v>
      </c>
      <c r="I93" s="137" t="e">
        <f t="shared" ca="1" si="5"/>
        <v>#REF!</v>
      </c>
    </row>
    <row r="94" spans="1:11" hidden="1" x14ac:dyDescent="0.25">
      <c r="A94" s="114" t="s">
        <v>180</v>
      </c>
      <c r="B94" s="115" t="s">
        <v>1671</v>
      </c>
      <c r="C94" s="116" t="s">
        <v>96</v>
      </c>
      <c r="D94" s="116">
        <v>0</v>
      </c>
      <c r="E94" s="136">
        <f ca="1">OFFSET(INDEX(Composições!A:J,MATCH(Orçamentária!A94,Composições!A:A,0),8),2,0)</f>
        <v>74.780189950360395</v>
      </c>
      <c r="F94" s="137">
        <f t="shared" ca="1" si="3"/>
        <v>0</v>
      </c>
      <c r="G94" s="138" t="e">
        <f>IF(A94&lt;&gt;"",IF(AND(#REF!="Padrão",$H$4=#REF!),BDI!$B$17,IF(AND(#REF!="Padrão",$H$4=#REF!),BDI!#REF!,IF(AND(#REF!="Diferenciado",$H$4=#REF!),BDI!$E$17,IF(AND(#REF!="Diferenciado",$H$4=#REF!),BDI!#REF!,IF(#REF!="ZERO",0))))),"")</f>
        <v>#REF!</v>
      </c>
      <c r="H94" s="139" t="e">
        <f t="shared" ca="1" si="4"/>
        <v>#REF!</v>
      </c>
      <c r="I94" s="137" t="e">
        <f t="shared" ca="1" si="5"/>
        <v>#REF!</v>
      </c>
    </row>
    <row r="95" spans="1:11" hidden="1" x14ac:dyDescent="0.25">
      <c r="A95" s="114" t="s">
        <v>182</v>
      </c>
      <c r="B95" s="115" t="s">
        <v>1672</v>
      </c>
      <c r="C95" s="116" t="s">
        <v>96</v>
      </c>
      <c r="D95" s="116">
        <v>0</v>
      </c>
      <c r="E95" s="136">
        <f ca="1">OFFSET(INDEX(Composições!A:J,MATCH(Orçamentária!A95,Composições!A:A,0),8),2,0)</f>
        <v>9.1544962099999996</v>
      </c>
      <c r="F95" s="137">
        <f t="shared" ca="1" si="3"/>
        <v>0</v>
      </c>
      <c r="G95" s="138" t="e">
        <f>IF(A95&lt;&gt;"",IF(AND(#REF!="Padrão",$H$4=#REF!),BDI!$B$17,IF(AND(#REF!="Padrão",$H$4=#REF!),BDI!#REF!,IF(AND(#REF!="Diferenciado",$H$4=#REF!),BDI!$E$17,IF(AND(#REF!="Diferenciado",$H$4=#REF!),BDI!#REF!,IF(#REF!="ZERO",0))))),"")</f>
        <v>#REF!</v>
      </c>
      <c r="H95" s="139" t="e">
        <f t="shared" ca="1" si="4"/>
        <v>#REF!</v>
      </c>
      <c r="I95" s="137" t="e">
        <f t="shared" ca="1" si="5"/>
        <v>#REF!</v>
      </c>
    </row>
    <row r="96" spans="1:11" x14ac:dyDescent="0.25">
      <c r="A96" s="187" t="s">
        <v>184</v>
      </c>
      <c r="B96" s="188" t="s">
        <v>1673</v>
      </c>
      <c r="C96" s="189" t="s">
        <v>96</v>
      </c>
      <c r="D96" s="189">
        <v>1.8200000000000005</v>
      </c>
      <c r="E96" s="136">
        <f ca="1">OFFSET(INDEX(Composições!A:J,MATCH(Orçamentária!A96,Composições!A:A,0),8),2,0)</f>
        <v>3.8709201988435993</v>
      </c>
      <c r="F96" s="137">
        <f t="shared" ca="1" si="3"/>
        <v>7.0450747618953526</v>
      </c>
      <c r="G96" s="138">
        <f>BDI!$B$17</f>
        <v>0.191</v>
      </c>
      <c r="H96" s="139">
        <f t="shared" ca="1" si="4"/>
        <v>4.6100000000000003</v>
      </c>
      <c r="I96" s="137">
        <f t="shared" ca="1" si="5"/>
        <v>8.39</v>
      </c>
      <c r="K96" s="182"/>
    </row>
    <row r="97" spans="1:11" hidden="1" x14ac:dyDescent="0.25">
      <c r="A97" s="114" t="s">
        <v>186</v>
      </c>
      <c r="B97" s="115" t="s">
        <v>188</v>
      </c>
      <c r="C97" s="116" t="s">
        <v>96</v>
      </c>
      <c r="D97" s="116">
        <v>0</v>
      </c>
      <c r="E97" s="136">
        <f ca="1">OFFSET(INDEX(Composições!A:J,MATCH(Orçamentária!A97,Composições!A:A,0),8),2,0)</f>
        <v>10.09432</v>
      </c>
      <c r="F97" s="137">
        <f t="shared" ca="1" si="3"/>
        <v>0</v>
      </c>
      <c r="G97" s="138" t="e">
        <f>IF(A97&lt;&gt;"",IF(AND(#REF!="Padrão",$H$4=#REF!),BDI!$B$17,IF(AND(#REF!="Padrão",$H$4=#REF!),BDI!#REF!,IF(AND(#REF!="Diferenciado",$H$4=#REF!),BDI!$E$17,IF(AND(#REF!="Diferenciado",$H$4=#REF!),BDI!#REF!,IF(#REF!="ZERO",0))))),"")</f>
        <v>#REF!</v>
      </c>
      <c r="H97" s="139" t="e">
        <f t="shared" ca="1" si="4"/>
        <v>#REF!</v>
      </c>
      <c r="I97" s="137" t="e">
        <f t="shared" ca="1" si="5"/>
        <v>#REF!</v>
      </c>
    </row>
    <row r="98" spans="1:11" x14ac:dyDescent="0.25">
      <c r="A98" s="187" t="s">
        <v>190</v>
      </c>
      <c r="B98" s="188" t="s">
        <v>1674</v>
      </c>
      <c r="C98" s="189" t="s">
        <v>96</v>
      </c>
      <c r="D98" s="189">
        <v>0.28000000000000003</v>
      </c>
      <c r="E98" s="136">
        <f ca="1">OFFSET(INDEX(Composições!A:J,MATCH(Orçamentária!A98,Composições!A:A,0),8),2,0)</f>
        <v>33.777977700000001</v>
      </c>
      <c r="F98" s="137">
        <f t="shared" ca="1" si="3"/>
        <v>9.4578337560000012</v>
      </c>
      <c r="G98" s="138">
        <f>BDI!$B$17</f>
        <v>0.191</v>
      </c>
      <c r="H98" s="139">
        <f t="shared" ca="1" si="4"/>
        <v>40.229999999999997</v>
      </c>
      <c r="I98" s="137">
        <f t="shared" ca="1" si="5"/>
        <v>11.26</v>
      </c>
      <c r="K98" s="182"/>
    </row>
    <row r="99" spans="1:11" x14ac:dyDescent="0.25">
      <c r="A99" s="187" t="s">
        <v>194</v>
      </c>
      <c r="B99" s="188" t="s">
        <v>1675</v>
      </c>
      <c r="C99" s="189" t="s">
        <v>96</v>
      </c>
      <c r="D99" s="189">
        <v>1.8200000000000005</v>
      </c>
      <c r="E99" s="136">
        <f ca="1">OFFSET(INDEX(Composições!A:J,MATCH(Orçamentária!A99,Composições!A:A,0),8),2,0)</f>
        <v>11.680281825</v>
      </c>
      <c r="F99" s="137">
        <f t="shared" ca="1" si="3"/>
        <v>21.258112921500004</v>
      </c>
      <c r="G99" s="138">
        <f>BDI!$B$17</f>
        <v>0.191</v>
      </c>
      <c r="H99" s="139">
        <f t="shared" ca="1" si="4"/>
        <v>13.91</v>
      </c>
      <c r="I99" s="137">
        <f t="shared" ca="1" si="5"/>
        <v>25.32</v>
      </c>
      <c r="K99" s="182"/>
    </row>
    <row r="100" spans="1:11" hidden="1" x14ac:dyDescent="0.25">
      <c r="A100" s="114" t="s">
        <v>195</v>
      </c>
      <c r="B100" s="115" t="s">
        <v>1676</v>
      </c>
      <c r="C100" s="116" t="s">
        <v>94</v>
      </c>
      <c r="D100" s="116">
        <v>0</v>
      </c>
      <c r="E100" s="136">
        <f ca="1">OFFSET(INDEX(Composições!A:J,MATCH(Orçamentária!A100,Composições!A:A,0),8),2,0)</f>
        <v>14.573313500000001</v>
      </c>
      <c r="F100" s="137">
        <f t="shared" ca="1" si="3"/>
        <v>0</v>
      </c>
      <c r="G100" s="138" t="e">
        <f>IF(A100&lt;&gt;"",IF(AND(#REF!="Padrão",$H$4=#REF!),BDI!$B$17,IF(AND(#REF!="Padrão",$H$4=#REF!),BDI!#REF!,IF(AND(#REF!="Diferenciado",$H$4=#REF!),BDI!$E$17,IF(AND(#REF!="Diferenciado",$H$4=#REF!),BDI!#REF!,IF(#REF!="ZERO",0))))),"")</f>
        <v>#REF!</v>
      </c>
      <c r="H100" s="139" t="e">
        <f t="shared" ca="1" si="4"/>
        <v>#REF!</v>
      </c>
      <c r="I100" s="137" t="e">
        <f t="shared" ca="1" si="5"/>
        <v>#REF!</v>
      </c>
    </row>
    <row r="101" spans="1:11" hidden="1" x14ac:dyDescent="0.25">
      <c r="A101" s="114" t="s">
        <v>202</v>
      </c>
      <c r="B101" s="115" t="s">
        <v>1677</v>
      </c>
      <c r="C101" s="116" t="s">
        <v>96</v>
      </c>
      <c r="D101" s="116">
        <v>0</v>
      </c>
      <c r="E101" s="136">
        <f ca="1">OFFSET(INDEX(Composições!A:J,MATCH(Orçamentária!A101,Composições!A:A,0),8),2,0)</f>
        <v>2.8813784999999998</v>
      </c>
      <c r="F101" s="137">
        <f t="shared" ca="1" si="3"/>
        <v>0</v>
      </c>
      <c r="G101" s="138" t="e">
        <f>IF(A101&lt;&gt;"",IF(AND(#REF!="Padrão",$H$4=#REF!),BDI!$B$17,IF(AND(#REF!="Padrão",$H$4=#REF!),BDI!#REF!,IF(AND(#REF!="Diferenciado",$H$4=#REF!),BDI!$E$17,IF(AND(#REF!="Diferenciado",$H$4=#REF!),BDI!#REF!,IF(#REF!="ZERO",0))))),"")</f>
        <v>#REF!</v>
      </c>
      <c r="H101" s="139" t="e">
        <f t="shared" ca="1" si="4"/>
        <v>#REF!</v>
      </c>
      <c r="I101" s="137" t="e">
        <f t="shared" ca="1" si="5"/>
        <v>#REF!</v>
      </c>
    </row>
    <row r="102" spans="1:11" hidden="1" x14ac:dyDescent="0.25">
      <c r="A102" s="114" t="s">
        <v>204</v>
      </c>
      <c r="B102" s="115" t="s">
        <v>1678</v>
      </c>
      <c r="C102" s="116" t="s">
        <v>96</v>
      </c>
      <c r="D102" s="116">
        <v>0</v>
      </c>
      <c r="E102" s="136">
        <f ca="1">OFFSET(INDEX(Composições!A:J,MATCH(Orçamentária!A102,Composições!A:A,0),8),2,0)</f>
        <v>9.8974343999999999</v>
      </c>
      <c r="F102" s="137">
        <f t="shared" ca="1" si="3"/>
        <v>0</v>
      </c>
      <c r="G102" s="138" t="e">
        <f>IF(A102&lt;&gt;"",IF(AND(#REF!="Padrão",$H$4=#REF!),BDI!$B$17,IF(AND(#REF!="Padrão",$H$4=#REF!),BDI!#REF!,IF(AND(#REF!="Diferenciado",$H$4=#REF!),BDI!$E$17,IF(AND(#REF!="Diferenciado",$H$4=#REF!),BDI!#REF!,IF(#REF!="ZERO",0))))),"")</f>
        <v>#REF!</v>
      </c>
      <c r="H102" s="139" t="e">
        <f t="shared" ca="1" si="4"/>
        <v>#REF!</v>
      </c>
      <c r="I102" s="137" t="e">
        <f t="shared" ca="1" si="5"/>
        <v>#REF!</v>
      </c>
    </row>
    <row r="103" spans="1:11" hidden="1" x14ac:dyDescent="0.25">
      <c r="A103" s="114" t="s">
        <v>209</v>
      </c>
      <c r="B103" s="115" t="s">
        <v>1679</v>
      </c>
      <c r="C103" s="116" t="s">
        <v>96</v>
      </c>
      <c r="D103" s="116">
        <v>0</v>
      </c>
      <c r="E103" s="136">
        <f ca="1">OFFSET(INDEX(Composições!A:J,MATCH(Orçamentária!A103,Composições!A:A,0),8),2,0)</f>
        <v>16.063274499999999</v>
      </c>
      <c r="F103" s="137">
        <f t="shared" ca="1" si="3"/>
        <v>0</v>
      </c>
      <c r="G103" s="138" t="e">
        <f>IF(A103&lt;&gt;"",IF(AND(#REF!="Padrão",$H$4=#REF!),BDI!$B$17,IF(AND(#REF!="Padrão",$H$4=#REF!),BDI!#REF!,IF(AND(#REF!="Diferenciado",$H$4=#REF!),BDI!$E$17,IF(AND(#REF!="Diferenciado",$H$4=#REF!),BDI!#REF!,IF(#REF!="ZERO",0))))),"")</f>
        <v>#REF!</v>
      </c>
      <c r="H103" s="139" t="e">
        <f t="shared" ca="1" si="4"/>
        <v>#REF!</v>
      </c>
      <c r="I103" s="137" t="e">
        <f t="shared" ca="1" si="5"/>
        <v>#REF!</v>
      </c>
    </row>
    <row r="104" spans="1:11" hidden="1" x14ac:dyDescent="0.25">
      <c r="A104" s="114" t="s">
        <v>213</v>
      </c>
      <c r="B104" s="115" t="s">
        <v>1680</v>
      </c>
      <c r="C104" s="116" t="s">
        <v>96</v>
      </c>
      <c r="D104" s="116">
        <v>0</v>
      </c>
      <c r="E104" s="136">
        <f ca="1">OFFSET(INDEX(Composições!A:J,MATCH(Orçamentária!A104,Composições!A:A,0),8),2,0)</f>
        <v>9.1059970000000003</v>
      </c>
      <c r="F104" s="137">
        <f t="shared" ca="1" si="3"/>
        <v>0</v>
      </c>
      <c r="G104" s="138" t="e">
        <f>IF(A104&lt;&gt;"",IF(AND(#REF!="Padrão",$H$4=#REF!),BDI!$B$17,IF(AND(#REF!="Padrão",$H$4=#REF!),BDI!#REF!,IF(AND(#REF!="Diferenciado",$H$4=#REF!),BDI!$E$17,IF(AND(#REF!="Diferenciado",$H$4=#REF!),BDI!#REF!,IF(#REF!="ZERO",0))))),"")</f>
        <v>#REF!</v>
      </c>
      <c r="H104" s="139" t="e">
        <f t="shared" ca="1" si="4"/>
        <v>#REF!</v>
      </c>
      <c r="I104" s="137" t="e">
        <f t="shared" ca="1" si="5"/>
        <v>#REF!</v>
      </c>
    </row>
    <row r="105" spans="1:11" hidden="1" x14ac:dyDescent="0.25">
      <c r="A105" s="114" t="s">
        <v>216</v>
      </c>
      <c r="B105" s="115" t="s">
        <v>1681</v>
      </c>
      <c r="C105" s="116" t="s">
        <v>96</v>
      </c>
      <c r="D105" s="116">
        <v>0</v>
      </c>
      <c r="E105" s="136">
        <f ca="1">OFFSET(INDEX(Composições!A:J,MATCH(Orçamentária!A105,Composições!A:A,0),8),2,0)</f>
        <v>11.7769695</v>
      </c>
      <c r="F105" s="137">
        <f t="shared" ca="1" si="3"/>
        <v>0</v>
      </c>
      <c r="G105" s="138" t="e">
        <f>IF(A105&lt;&gt;"",IF(AND(#REF!="Padrão",$H$4=#REF!),BDI!$B$17,IF(AND(#REF!="Padrão",$H$4=#REF!),BDI!#REF!,IF(AND(#REF!="Diferenciado",$H$4=#REF!),BDI!$E$17,IF(AND(#REF!="Diferenciado",$H$4=#REF!),BDI!#REF!,IF(#REF!="ZERO",0))))),"")</f>
        <v>#REF!</v>
      </c>
      <c r="H105" s="139" t="e">
        <f t="shared" ca="1" si="4"/>
        <v>#REF!</v>
      </c>
      <c r="I105" s="137" t="e">
        <f t="shared" ca="1" si="5"/>
        <v>#REF!</v>
      </c>
    </row>
    <row r="106" spans="1:11" hidden="1" x14ac:dyDescent="0.25">
      <c r="A106" s="114" t="s">
        <v>218</v>
      </c>
      <c r="B106" s="115" t="s">
        <v>1682</v>
      </c>
      <c r="C106" s="116" t="s">
        <v>96</v>
      </c>
      <c r="D106" s="116">
        <v>0</v>
      </c>
      <c r="E106" s="136">
        <f ca="1">OFFSET(INDEX(Composições!A:J,MATCH(Orçamentária!A106,Composições!A:A,0),8),2,0)</f>
        <v>14.722149999999999</v>
      </c>
      <c r="F106" s="137">
        <f t="shared" ca="1" si="3"/>
        <v>0</v>
      </c>
      <c r="G106" s="138" t="e">
        <f>IF(A106&lt;&gt;"",IF(AND(#REF!="Padrão",$H$4=#REF!),BDI!$B$17,IF(AND(#REF!="Padrão",$H$4=#REF!),BDI!#REF!,IF(AND(#REF!="Diferenciado",$H$4=#REF!),BDI!$E$17,IF(AND(#REF!="Diferenciado",$H$4=#REF!),BDI!#REF!,IF(#REF!="ZERO",0))))),"")</f>
        <v>#REF!</v>
      </c>
      <c r="H106" s="139" t="e">
        <f t="shared" ca="1" si="4"/>
        <v>#REF!</v>
      </c>
      <c r="I106" s="137" t="e">
        <f t="shared" ca="1" si="5"/>
        <v>#REF!</v>
      </c>
    </row>
    <row r="107" spans="1:11" hidden="1" x14ac:dyDescent="0.25">
      <c r="A107" s="114" t="s">
        <v>220</v>
      </c>
      <c r="B107" s="115" t="s">
        <v>1683</v>
      </c>
      <c r="C107" s="116" t="s">
        <v>96</v>
      </c>
      <c r="D107" s="116">
        <v>0</v>
      </c>
      <c r="E107" s="136">
        <f ca="1">OFFSET(INDEX(Composições!A:J,MATCH(Orçamentária!A107,Composições!A:A,0),8),2,0)</f>
        <v>12.720500000000001</v>
      </c>
      <c r="F107" s="137">
        <f t="shared" ca="1" si="3"/>
        <v>0</v>
      </c>
      <c r="G107" s="138" t="e">
        <f>IF(A107&lt;&gt;"",IF(AND(#REF!="Padrão",$H$4=#REF!),BDI!$B$17,IF(AND(#REF!="Padrão",$H$4=#REF!),BDI!#REF!,IF(AND(#REF!="Diferenciado",$H$4=#REF!),BDI!$E$17,IF(AND(#REF!="Diferenciado",$H$4=#REF!),BDI!#REF!,IF(#REF!="ZERO",0))))),"")</f>
        <v>#REF!</v>
      </c>
      <c r="H107" s="139" t="e">
        <f t="shared" ca="1" si="4"/>
        <v>#REF!</v>
      </c>
      <c r="I107" s="137" t="e">
        <f t="shared" ca="1" si="5"/>
        <v>#REF!</v>
      </c>
    </row>
    <row r="108" spans="1:11" hidden="1" x14ac:dyDescent="0.25">
      <c r="A108" s="114" t="s">
        <v>222</v>
      </c>
      <c r="B108" s="115" t="s">
        <v>1684</v>
      </c>
      <c r="C108" s="116" t="s">
        <v>96</v>
      </c>
      <c r="D108" s="116">
        <v>0</v>
      </c>
      <c r="E108" s="136">
        <f ca="1">OFFSET(INDEX(Composições!A:J,MATCH(Orçamentária!A108,Composições!A:A,0),8),2,0)</f>
        <v>13.415795499999998</v>
      </c>
      <c r="F108" s="137">
        <f t="shared" ca="1" si="3"/>
        <v>0</v>
      </c>
      <c r="G108" s="138" t="e">
        <f>IF(A108&lt;&gt;"",IF(AND(#REF!="Padrão",$H$4=#REF!),BDI!$B$17,IF(AND(#REF!="Padrão",$H$4=#REF!),BDI!#REF!,IF(AND(#REF!="Diferenciado",$H$4=#REF!),BDI!$E$17,IF(AND(#REF!="Diferenciado",$H$4=#REF!),BDI!#REF!,IF(#REF!="ZERO",0))))),"")</f>
        <v>#REF!</v>
      </c>
      <c r="H108" s="139" t="e">
        <f t="shared" ca="1" si="4"/>
        <v>#REF!</v>
      </c>
      <c r="I108" s="137" t="e">
        <f t="shared" ca="1" si="5"/>
        <v>#REF!</v>
      </c>
    </row>
    <row r="109" spans="1:11" hidden="1" x14ac:dyDescent="0.25">
      <c r="A109" s="114" t="s">
        <v>223</v>
      </c>
      <c r="B109" s="115" t="s">
        <v>1685</v>
      </c>
      <c r="C109" s="116" t="s">
        <v>96</v>
      </c>
      <c r="D109" s="116">
        <v>0</v>
      </c>
      <c r="E109" s="136">
        <f ca="1">OFFSET(INDEX(Composições!A:J,MATCH(Orçamentária!A109,Composições!A:A,0),8),2,0)</f>
        <v>69.233720000000005</v>
      </c>
      <c r="F109" s="137">
        <f t="shared" ca="1" si="3"/>
        <v>0</v>
      </c>
      <c r="G109" s="138" t="e">
        <f>IF(A109&lt;&gt;"",IF(AND(#REF!="Padrão",$H$4=#REF!),BDI!$B$17,IF(AND(#REF!="Padrão",$H$4=#REF!),BDI!#REF!,IF(AND(#REF!="Diferenciado",$H$4=#REF!),BDI!$E$17,IF(AND(#REF!="Diferenciado",$H$4=#REF!),BDI!#REF!,IF(#REF!="ZERO",0))))),"")</f>
        <v>#REF!</v>
      </c>
      <c r="H109" s="139" t="e">
        <f t="shared" ca="1" si="4"/>
        <v>#REF!</v>
      </c>
      <c r="I109" s="137" t="e">
        <f t="shared" ca="1" si="5"/>
        <v>#REF!</v>
      </c>
    </row>
    <row r="110" spans="1:11" hidden="1" x14ac:dyDescent="0.25">
      <c r="A110" s="114" t="s">
        <v>225</v>
      </c>
      <c r="B110" s="115" t="s">
        <v>1686</v>
      </c>
      <c r="C110" s="116" t="s">
        <v>96</v>
      </c>
      <c r="D110" s="116">
        <v>0</v>
      </c>
      <c r="E110" s="136">
        <f ca="1">OFFSET(INDEX(Composições!A:J,MATCH(Orçamentária!A110,Composições!A:A,0),8),2,0)</f>
        <v>46.864036203084993</v>
      </c>
      <c r="F110" s="137">
        <f t="shared" ca="1" si="3"/>
        <v>0</v>
      </c>
      <c r="G110" s="138" t="e">
        <f>IF(A110&lt;&gt;"",IF(AND(#REF!="Padrão",$H$4=#REF!),BDI!$B$17,IF(AND(#REF!="Padrão",$H$4=#REF!),BDI!#REF!,IF(AND(#REF!="Diferenciado",$H$4=#REF!),BDI!$E$17,IF(AND(#REF!="Diferenciado",$H$4=#REF!),BDI!#REF!,IF(#REF!="ZERO",0))))),"")</f>
        <v>#REF!</v>
      </c>
      <c r="H110" s="139" t="e">
        <f t="shared" ca="1" si="4"/>
        <v>#REF!</v>
      </c>
      <c r="I110" s="137" t="e">
        <f t="shared" ca="1" si="5"/>
        <v>#REF!</v>
      </c>
    </row>
    <row r="111" spans="1:11" x14ac:dyDescent="0.25">
      <c r="A111" s="187" t="s">
        <v>228</v>
      </c>
      <c r="B111" s="188" t="s">
        <v>1687</v>
      </c>
      <c r="C111" s="189" t="s">
        <v>96</v>
      </c>
      <c r="D111" s="189">
        <v>0.52659999999999996</v>
      </c>
      <c r="E111" s="136">
        <f ca="1">OFFSET(INDEX(Composições!A:J,MATCH(Orçamentária!A111,Composições!A:A,0),8),2,0)</f>
        <v>32.099072260294996</v>
      </c>
      <c r="F111" s="137">
        <f t="shared" ca="1" si="3"/>
        <v>16.903371452271344</v>
      </c>
      <c r="G111" s="138">
        <f>BDI!$B$17</f>
        <v>0.191</v>
      </c>
      <c r="H111" s="139">
        <f t="shared" ca="1" si="4"/>
        <v>38.229999999999997</v>
      </c>
      <c r="I111" s="137">
        <f t="shared" ca="1" si="5"/>
        <v>20.13</v>
      </c>
      <c r="K111" s="182"/>
    </row>
    <row r="112" spans="1:11" hidden="1" x14ac:dyDescent="0.25">
      <c r="A112" s="114" t="s">
        <v>229</v>
      </c>
      <c r="B112" s="115" t="s">
        <v>1688</v>
      </c>
      <c r="C112" s="116" t="s">
        <v>96</v>
      </c>
      <c r="D112" s="116">
        <v>0</v>
      </c>
      <c r="E112" s="136">
        <f ca="1">OFFSET(INDEX(Composições!A:J,MATCH(Orçamentária!A112,Composições!A:A,0),8),2,0)</f>
        <v>43.224525</v>
      </c>
      <c r="F112" s="137">
        <f t="shared" ca="1" si="3"/>
        <v>0</v>
      </c>
      <c r="G112" s="138" t="e">
        <f>IF(A112&lt;&gt;"",IF(AND(#REF!="Padrão",$H$4=#REF!),BDI!$B$17,IF(AND(#REF!="Padrão",$H$4=#REF!),BDI!#REF!,IF(AND(#REF!="Diferenciado",$H$4=#REF!),BDI!$E$17,IF(AND(#REF!="Diferenciado",$H$4=#REF!),BDI!#REF!,IF(#REF!="ZERO",0))))),"")</f>
        <v>#REF!</v>
      </c>
      <c r="H112" s="139" t="e">
        <f t="shared" ca="1" si="4"/>
        <v>#REF!</v>
      </c>
      <c r="I112" s="137" t="e">
        <f t="shared" ca="1" si="5"/>
        <v>#REF!</v>
      </c>
    </row>
    <row r="113" spans="1:9" hidden="1" x14ac:dyDescent="0.25">
      <c r="A113" s="114" t="s">
        <v>231</v>
      </c>
      <c r="B113" s="115" t="s">
        <v>1689</v>
      </c>
      <c r="C113" s="116" t="s">
        <v>96</v>
      </c>
      <c r="D113" s="116">
        <v>0</v>
      </c>
      <c r="E113" s="136">
        <f ca="1">OFFSET(INDEX(Composições!A:J,MATCH(Orçamentária!A113,Composições!A:A,0),8),2,0)</f>
        <v>93.847099000000014</v>
      </c>
      <c r="F113" s="137">
        <f t="shared" ca="1" si="3"/>
        <v>0</v>
      </c>
      <c r="G113" s="138" t="e">
        <f>IF(A113&lt;&gt;"",IF(AND(#REF!="Padrão",$H$4=#REF!),BDI!$B$17,IF(AND(#REF!="Padrão",$H$4=#REF!),BDI!#REF!,IF(AND(#REF!="Diferenciado",$H$4=#REF!),BDI!$E$17,IF(AND(#REF!="Diferenciado",$H$4=#REF!),BDI!#REF!,IF(#REF!="ZERO",0))))),"")</f>
        <v>#REF!</v>
      </c>
      <c r="H113" s="139" t="e">
        <f t="shared" ca="1" si="4"/>
        <v>#REF!</v>
      </c>
      <c r="I113" s="137" t="e">
        <f t="shared" ca="1" si="5"/>
        <v>#REF!</v>
      </c>
    </row>
    <row r="114" spans="1:9" hidden="1" x14ac:dyDescent="0.25">
      <c r="A114" s="114" t="s">
        <v>234</v>
      </c>
      <c r="B114" s="115" t="s">
        <v>1690</v>
      </c>
      <c r="C114" s="116" t="s">
        <v>96</v>
      </c>
      <c r="D114" s="116">
        <v>0</v>
      </c>
      <c r="E114" s="136">
        <f ca="1">OFFSET(INDEX(Composições!A:J,MATCH(Orçamentária!A114,Composições!A:A,0),8),2,0)</f>
        <v>108.13556735000002</v>
      </c>
      <c r="F114" s="137">
        <f t="shared" ca="1" si="3"/>
        <v>0</v>
      </c>
      <c r="G114" s="138" t="e">
        <f>IF(A114&lt;&gt;"",IF(AND(#REF!="Padrão",$H$4=#REF!),BDI!$B$17,IF(AND(#REF!="Padrão",$H$4=#REF!),BDI!#REF!,IF(AND(#REF!="Diferenciado",$H$4=#REF!),BDI!$E$17,IF(AND(#REF!="Diferenciado",$H$4=#REF!),BDI!#REF!,IF(#REF!="ZERO",0))))),"")</f>
        <v>#REF!</v>
      </c>
      <c r="H114" s="139" t="e">
        <f t="shared" ca="1" si="4"/>
        <v>#REF!</v>
      </c>
      <c r="I114" s="137" t="e">
        <f t="shared" ca="1" si="5"/>
        <v>#REF!</v>
      </c>
    </row>
    <row r="115" spans="1:9" hidden="1" x14ac:dyDescent="0.25">
      <c r="A115" s="114" t="s">
        <v>237</v>
      </c>
      <c r="B115" s="115" t="s">
        <v>1691</v>
      </c>
      <c r="C115" s="116" t="s">
        <v>96</v>
      </c>
      <c r="D115" s="116">
        <v>0</v>
      </c>
      <c r="E115" s="136">
        <f ca="1">OFFSET(INDEX(Composições!A:J,MATCH(Orçamentária!A115,Composições!A:A,0),8),2,0)</f>
        <v>43.224525</v>
      </c>
      <c r="F115" s="137">
        <f t="shared" ca="1" si="3"/>
        <v>0</v>
      </c>
      <c r="G115" s="138" t="e">
        <f>IF(A115&lt;&gt;"",IF(AND(#REF!="Padrão",$H$4=#REF!),BDI!$B$17,IF(AND(#REF!="Padrão",$H$4=#REF!),BDI!#REF!,IF(AND(#REF!="Diferenciado",$H$4=#REF!),BDI!$E$17,IF(AND(#REF!="Diferenciado",$H$4=#REF!),BDI!#REF!,IF(#REF!="ZERO",0))))),"")</f>
        <v>#REF!</v>
      </c>
      <c r="H115" s="139" t="e">
        <f t="shared" ca="1" si="4"/>
        <v>#REF!</v>
      </c>
      <c r="I115" s="137" t="e">
        <f t="shared" ca="1" si="5"/>
        <v>#REF!</v>
      </c>
    </row>
    <row r="116" spans="1:9" hidden="1" x14ac:dyDescent="0.25">
      <c r="A116" s="114" t="s">
        <v>239</v>
      </c>
      <c r="B116" s="115" t="s">
        <v>1692</v>
      </c>
      <c r="C116" s="116" t="s">
        <v>96</v>
      </c>
      <c r="D116" s="116">
        <v>0</v>
      </c>
      <c r="E116" s="136">
        <f ca="1">OFFSET(INDEX(Composições!A:J,MATCH(Orçamentária!A116,Composições!A:A,0),8),2,0)</f>
        <v>93.847099000000014</v>
      </c>
      <c r="F116" s="137">
        <f t="shared" ca="1" si="3"/>
        <v>0</v>
      </c>
      <c r="G116" s="138" t="e">
        <f>IF(A116&lt;&gt;"",IF(AND(#REF!="Padrão",$H$4=#REF!),BDI!$B$17,IF(AND(#REF!="Padrão",$H$4=#REF!),BDI!#REF!,IF(AND(#REF!="Diferenciado",$H$4=#REF!),BDI!$E$17,IF(AND(#REF!="Diferenciado",$H$4=#REF!),BDI!#REF!,IF(#REF!="ZERO",0))))),"")</f>
        <v>#REF!</v>
      </c>
      <c r="H116" s="139" t="e">
        <f t="shared" ca="1" si="4"/>
        <v>#REF!</v>
      </c>
      <c r="I116" s="137" t="e">
        <f t="shared" ca="1" si="5"/>
        <v>#REF!</v>
      </c>
    </row>
    <row r="117" spans="1:9" hidden="1" x14ac:dyDescent="0.25">
      <c r="A117" s="114" t="s">
        <v>241</v>
      </c>
      <c r="B117" s="115" t="s">
        <v>1693</v>
      </c>
      <c r="C117" s="116" t="s">
        <v>96</v>
      </c>
      <c r="D117" s="116">
        <v>0</v>
      </c>
      <c r="E117" s="136">
        <f ca="1">OFFSET(INDEX(Composições!A:J,MATCH(Orçamentária!A117,Composições!A:A,0),8),2,0)</f>
        <v>108.13556735000002</v>
      </c>
      <c r="F117" s="137">
        <f t="shared" ca="1" si="3"/>
        <v>0</v>
      </c>
      <c r="G117" s="138" t="e">
        <f>IF(A117&lt;&gt;"",IF(AND(#REF!="Padrão",$H$4=#REF!),BDI!$B$17,IF(AND(#REF!="Padrão",$H$4=#REF!),BDI!#REF!,IF(AND(#REF!="Diferenciado",$H$4=#REF!),BDI!$E$17,IF(AND(#REF!="Diferenciado",$H$4=#REF!),BDI!#REF!,IF(#REF!="ZERO",0))))),"")</f>
        <v>#REF!</v>
      </c>
      <c r="H117" s="139" t="e">
        <f t="shared" ca="1" si="4"/>
        <v>#REF!</v>
      </c>
      <c r="I117" s="137" t="e">
        <f t="shared" ca="1" si="5"/>
        <v>#REF!</v>
      </c>
    </row>
    <row r="118" spans="1:9" hidden="1" x14ac:dyDescent="0.25">
      <c r="A118" s="114" t="s">
        <v>243</v>
      </c>
      <c r="B118" s="115" t="s">
        <v>1694</v>
      </c>
      <c r="C118" s="116" t="s">
        <v>94</v>
      </c>
      <c r="D118" s="116">
        <v>0</v>
      </c>
      <c r="E118" s="136">
        <f ca="1">OFFSET(INDEX(Composições!A:J,MATCH(Orçamentária!A118,Composições!A:A,0),8),2,0)</f>
        <v>12.4571068</v>
      </c>
      <c r="F118" s="137">
        <f t="shared" ca="1" si="3"/>
        <v>0</v>
      </c>
      <c r="G118" s="138" t="e">
        <f>IF(A118&lt;&gt;"",IF(AND(#REF!="Padrão",$H$4=#REF!),BDI!$B$17,IF(AND(#REF!="Padrão",$H$4=#REF!),BDI!#REF!,IF(AND(#REF!="Diferenciado",$H$4=#REF!),BDI!$E$17,IF(AND(#REF!="Diferenciado",$H$4=#REF!),BDI!#REF!,IF(#REF!="ZERO",0))))),"")</f>
        <v>#REF!</v>
      </c>
      <c r="H118" s="139" t="e">
        <f t="shared" ca="1" si="4"/>
        <v>#REF!</v>
      </c>
      <c r="I118" s="137" t="e">
        <f t="shared" ca="1" si="5"/>
        <v>#REF!</v>
      </c>
    </row>
    <row r="119" spans="1:9" hidden="1" x14ac:dyDescent="0.25">
      <c r="A119" s="114" t="s">
        <v>244</v>
      </c>
      <c r="B119" s="115" t="s">
        <v>1695</v>
      </c>
      <c r="C119" s="116" t="s">
        <v>96</v>
      </c>
      <c r="D119" s="116">
        <v>0</v>
      </c>
      <c r="E119" s="136">
        <f ca="1">OFFSET(INDEX(Composições!A:J,MATCH(Orçamentária!A119,Composições!A:A,0),8),2,0)</f>
        <v>43.224525</v>
      </c>
      <c r="F119" s="137">
        <f t="shared" ca="1" si="3"/>
        <v>0</v>
      </c>
      <c r="G119" s="138" t="e">
        <f>IF(A119&lt;&gt;"",IF(AND(#REF!="Padrão",$H$4=#REF!),BDI!$B$17,IF(AND(#REF!="Padrão",$H$4=#REF!),BDI!#REF!,IF(AND(#REF!="Diferenciado",$H$4=#REF!),BDI!$E$17,IF(AND(#REF!="Diferenciado",$H$4=#REF!),BDI!#REF!,IF(#REF!="ZERO",0))))),"")</f>
        <v>#REF!</v>
      </c>
      <c r="H119" s="139" t="e">
        <f t="shared" ca="1" si="4"/>
        <v>#REF!</v>
      </c>
      <c r="I119" s="137" t="e">
        <f t="shared" ca="1" si="5"/>
        <v>#REF!</v>
      </c>
    </row>
    <row r="120" spans="1:9" hidden="1" x14ac:dyDescent="0.25">
      <c r="A120" s="114" t="s">
        <v>246</v>
      </c>
      <c r="B120" s="115" t="s">
        <v>1696</v>
      </c>
      <c r="C120" s="116" t="s">
        <v>96</v>
      </c>
      <c r="D120" s="116">
        <v>0</v>
      </c>
      <c r="E120" s="136">
        <f ca="1">OFFSET(INDEX(Composições!A:J,MATCH(Orçamentária!A120,Composições!A:A,0),8),2,0)</f>
        <v>43.224525</v>
      </c>
      <c r="F120" s="137">
        <f t="shared" ca="1" si="3"/>
        <v>0</v>
      </c>
      <c r="G120" s="138" t="e">
        <f>IF(A120&lt;&gt;"",IF(AND(#REF!="Padrão",$H$4=#REF!),BDI!$B$17,IF(AND(#REF!="Padrão",$H$4=#REF!),BDI!#REF!,IF(AND(#REF!="Diferenciado",$H$4=#REF!),BDI!$E$17,IF(AND(#REF!="Diferenciado",$H$4=#REF!),BDI!#REF!,IF(#REF!="ZERO",0))))),"")</f>
        <v>#REF!</v>
      </c>
      <c r="H120" s="139" t="e">
        <f t="shared" ca="1" si="4"/>
        <v>#REF!</v>
      </c>
      <c r="I120" s="137" t="e">
        <f t="shared" ca="1" si="5"/>
        <v>#REF!</v>
      </c>
    </row>
    <row r="121" spans="1:9" hidden="1" x14ac:dyDescent="0.25">
      <c r="A121" s="114" t="s">
        <v>248</v>
      </c>
      <c r="B121" s="115" t="s">
        <v>1697</v>
      </c>
      <c r="C121" s="116" t="s">
        <v>94</v>
      </c>
      <c r="D121" s="116">
        <v>0</v>
      </c>
      <c r="E121" s="136">
        <f ca="1">OFFSET(INDEX(Composições!A:J,MATCH(Orçamentária!A121,Composições!A:A,0),8),2,0)</f>
        <v>24.708401799999997</v>
      </c>
      <c r="F121" s="137">
        <f t="shared" ca="1" si="3"/>
        <v>0</v>
      </c>
      <c r="G121" s="138" t="e">
        <f>IF(A121&lt;&gt;"",IF(AND(#REF!="Padrão",$H$4=#REF!),BDI!$B$17,IF(AND(#REF!="Padrão",$H$4=#REF!),BDI!#REF!,IF(AND(#REF!="Diferenciado",$H$4=#REF!),BDI!$E$17,IF(AND(#REF!="Diferenciado",$H$4=#REF!),BDI!#REF!,IF(#REF!="ZERO",0))))),"")</f>
        <v>#REF!</v>
      </c>
      <c r="H121" s="139" t="e">
        <f t="shared" ca="1" si="4"/>
        <v>#REF!</v>
      </c>
      <c r="I121" s="137" t="e">
        <f t="shared" ca="1" si="5"/>
        <v>#REF!</v>
      </c>
    </row>
    <row r="122" spans="1:9" hidden="1" x14ac:dyDescent="0.25">
      <c r="A122" s="114" t="s">
        <v>250</v>
      </c>
      <c r="B122" s="115" t="s">
        <v>1698</v>
      </c>
      <c r="C122" s="116" t="s">
        <v>94</v>
      </c>
      <c r="D122" s="116">
        <v>0</v>
      </c>
      <c r="E122" s="136">
        <f ca="1">OFFSET(INDEX(Composições!A:J,MATCH(Orçamentária!A122,Composições!A:A,0),8),2,0)</f>
        <v>36.841000000000001</v>
      </c>
      <c r="F122" s="137">
        <f t="shared" ca="1" si="3"/>
        <v>0</v>
      </c>
      <c r="G122" s="138" t="e">
        <f>IF(A122&lt;&gt;"",IF(AND(#REF!="Padrão",$H$4=#REF!),BDI!$B$17,IF(AND(#REF!="Padrão",$H$4=#REF!),BDI!#REF!,IF(AND(#REF!="Diferenciado",$H$4=#REF!),BDI!$E$17,IF(AND(#REF!="Diferenciado",$H$4=#REF!),BDI!#REF!,IF(#REF!="ZERO",0))))),"")</f>
        <v>#REF!</v>
      </c>
      <c r="H122" s="139" t="e">
        <f t="shared" ca="1" si="4"/>
        <v>#REF!</v>
      </c>
      <c r="I122" s="137" t="e">
        <f t="shared" ca="1" si="5"/>
        <v>#REF!</v>
      </c>
    </row>
    <row r="123" spans="1:9" hidden="1" x14ac:dyDescent="0.25">
      <c r="A123" s="114" t="s">
        <v>251</v>
      </c>
      <c r="B123" s="115" t="s">
        <v>1699</v>
      </c>
      <c r="C123" s="116" t="s">
        <v>94</v>
      </c>
      <c r="D123" s="116">
        <v>0</v>
      </c>
      <c r="E123" s="136">
        <f ca="1">OFFSET(INDEX(Composições!A:J,MATCH(Orçamentária!A123,Composições!A:A,0),8),2,0)</f>
        <v>32.235875</v>
      </c>
      <c r="F123" s="137">
        <f t="shared" ca="1" si="3"/>
        <v>0</v>
      </c>
      <c r="G123" s="138" t="e">
        <f>IF(A123&lt;&gt;"",IF(AND(#REF!="Padrão",$H$4=#REF!),BDI!$B$17,IF(AND(#REF!="Padrão",$H$4=#REF!),BDI!#REF!,IF(AND(#REF!="Diferenciado",$H$4=#REF!),BDI!$E$17,IF(AND(#REF!="Diferenciado",$H$4=#REF!),BDI!#REF!,IF(#REF!="ZERO",0))))),"")</f>
        <v>#REF!</v>
      </c>
      <c r="H123" s="139" t="e">
        <f t="shared" ca="1" si="4"/>
        <v>#REF!</v>
      </c>
      <c r="I123" s="137" t="e">
        <f t="shared" ca="1" si="5"/>
        <v>#REF!</v>
      </c>
    </row>
    <row r="124" spans="1:9" hidden="1" x14ac:dyDescent="0.25">
      <c r="A124" s="114" t="s">
        <v>252</v>
      </c>
      <c r="B124" s="115" t="s">
        <v>1700</v>
      </c>
      <c r="C124" s="116" t="s">
        <v>94</v>
      </c>
      <c r="D124" s="116">
        <v>0</v>
      </c>
      <c r="E124" s="136">
        <f ca="1">OFFSET(INDEX(Composições!A:J,MATCH(Orçamentária!A124,Composições!A:A,0),8),2,0)</f>
        <v>18.420500000000001</v>
      </c>
      <c r="F124" s="137">
        <f t="shared" ca="1" si="3"/>
        <v>0</v>
      </c>
      <c r="G124" s="138" t="e">
        <f>IF(A124&lt;&gt;"",IF(AND(#REF!="Padrão",$H$4=#REF!),BDI!$B$17,IF(AND(#REF!="Padrão",$H$4=#REF!),BDI!#REF!,IF(AND(#REF!="Diferenciado",$H$4=#REF!),BDI!$E$17,IF(AND(#REF!="Diferenciado",$H$4=#REF!),BDI!#REF!,IF(#REF!="ZERO",0))))),"")</f>
        <v>#REF!</v>
      </c>
      <c r="H124" s="139" t="e">
        <f t="shared" ca="1" si="4"/>
        <v>#REF!</v>
      </c>
      <c r="I124" s="137" t="e">
        <f t="shared" ca="1" si="5"/>
        <v>#REF!</v>
      </c>
    </row>
    <row r="125" spans="1:9" hidden="1" x14ac:dyDescent="0.25">
      <c r="A125" s="114" t="s">
        <v>253</v>
      </c>
      <c r="B125" s="115" t="s">
        <v>1701</v>
      </c>
      <c r="C125" s="116" t="s">
        <v>94</v>
      </c>
      <c r="D125" s="116">
        <v>0</v>
      </c>
      <c r="E125" s="136">
        <f ca="1">OFFSET(INDEX(Composições!A:J,MATCH(Orçamentária!A125,Composições!A:A,0),8),2,0)</f>
        <v>23.025625000000002</v>
      </c>
      <c r="F125" s="137">
        <f t="shared" ca="1" si="3"/>
        <v>0</v>
      </c>
      <c r="G125" s="138" t="e">
        <f>IF(A125&lt;&gt;"",IF(AND(#REF!="Padrão",$H$4=#REF!),BDI!$B$17,IF(AND(#REF!="Padrão",$H$4=#REF!),BDI!#REF!,IF(AND(#REF!="Diferenciado",$H$4=#REF!),BDI!$E$17,IF(AND(#REF!="Diferenciado",$H$4=#REF!),BDI!#REF!,IF(#REF!="ZERO",0))))),"")</f>
        <v>#REF!</v>
      </c>
      <c r="H125" s="139" t="e">
        <f t="shared" ca="1" si="4"/>
        <v>#REF!</v>
      </c>
      <c r="I125" s="137" t="e">
        <f t="shared" ca="1" si="5"/>
        <v>#REF!</v>
      </c>
    </row>
    <row r="126" spans="1:9" hidden="1" x14ac:dyDescent="0.25">
      <c r="A126" s="114" t="s">
        <v>254</v>
      </c>
      <c r="B126" s="115" t="s">
        <v>1702</v>
      </c>
      <c r="C126" s="116" t="s">
        <v>20</v>
      </c>
      <c r="D126" s="116">
        <v>0</v>
      </c>
      <c r="E126" s="136">
        <f ca="1">OFFSET(INDEX(Composições!A:J,MATCH(Orçamentária!A126,Composições!A:A,0),8),2,0)</f>
        <v>90.781999999999996</v>
      </c>
      <c r="F126" s="137">
        <f t="shared" ca="1" si="3"/>
        <v>0</v>
      </c>
      <c r="G126" s="138" t="e">
        <f>IF(A126&lt;&gt;"",IF(AND(#REF!="Padrão",$H$4=#REF!),BDI!$B$17,IF(AND(#REF!="Padrão",$H$4=#REF!),BDI!#REF!,IF(AND(#REF!="Diferenciado",$H$4=#REF!),BDI!$E$17,IF(AND(#REF!="Diferenciado",$H$4=#REF!),BDI!#REF!,IF(#REF!="ZERO",0))))),"")</f>
        <v>#REF!</v>
      </c>
      <c r="H126" s="139" t="e">
        <f t="shared" ca="1" si="4"/>
        <v>#REF!</v>
      </c>
      <c r="I126" s="137" t="e">
        <f t="shared" ca="1" si="5"/>
        <v>#REF!</v>
      </c>
    </row>
    <row r="127" spans="1:9" ht="25.5" hidden="1" x14ac:dyDescent="0.25">
      <c r="A127" s="114" t="s">
        <v>256</v>
      </c>
      <c r="B127" s="115" t="s">
        <v>1703</v>
      </c>
      <c r="C127" s="116" t="s">
        <v>20</v>
      </c>
      <c r="D127" s="116">
        <v>0</v>
      </c>
      <c r="E127" s="136">
        <f ca="1">OFFSET(INDEX(Composições!A:J,MATCH(Orçamentária!A127,Composições!A:A,0),8),2,0)</f>
        <v>13.6135</v>
      </c>
      <c r="F127" s="137">
        <f t="shared" ca="1" si="3"/>
        <v>0</v>
      </c>
      <c r="G127" s="138" t="e">
        <f>IF(A127&lt;&gt;"",IF(AND(#REF!="Padrão",$H$4=#REF!),BDI!$B$17,IF(AND(#REF!="Padrão",$H$4=#REF!),BDI!#REF!,IF(AND(#REF!="Diferenciado",$H$4=#REF!),BDI!$E$17,IF(AND(#REF!="Diferenciado",$H$4=#REF!),BDI!#REF!,IF(#REF!="ZERO",0))))),"")</f>
        <v>#REF!</v>
      </c>
      <c r="H127" s="139" t="e">
        <f t="shared" ca="1" si="4"/>
        <v>#REF!</v>
      </c>
      <c r="I127" s="137" t="e">
        <f t="shared" ca="1" si="5"/>
        <v>#REF!</v>
      </c>
    </row>
    <row r="128" spans="1:9" hidden="1" x14ac:dyDescent="0.25">
      <c r="A128" s="114" t="s">
        <v>258</v>
      </c>
      <c r="B128" s="115" t="s">
        <v>1704</v>
      </c>
      <c r="C128" s="116" t="s">
        <v>96</v>
      </c>
      <c r="D128" s="116">
        <v>0</v>
      </c>
      <c r="E128" s="136">
        <f ca="1">OFFSET(INDEX(Composições!A:J,MATCH(Orçamentária!A128,Composições!A:A,0),8),2,0)</f>
        <v>62.564162350000004</v>
      </c>
      <c r="F128" s="137">
        <f t="shared" ca="1" si="3"/>
        <v>0</v>
      </c>
      <c r="G128" s="138" t="e">
        <f>IF(A128&lt;&gt;"",IF(AND(#REF!="Padrão",$H$4=#REF!),BDI!$B$17,IF(AND(#REF!="Padrão",$H$4=#REF!),BDI!#REF!,IF(AND(#REF!="Diferenciado",$H$4=#REF!),BDI!$E$17,IF(AND(#REF!="Diferenciado",$H$4=#REF!),BDI!#REF!,IF(#REF!="ZERO",0))))),"")</f>
        <v>#REF!</v>
      </c>
      <c r="H128" s="139" t="e">
        <f t="shared" ca="1" si="4"/>
        <v>#REF!</v>
      </c>
      <c r="I128" s="137" t="e">
        <f t="shared" ca="1" si="5"/>
        <v>#REF!</v>
      </c>
    </row>
    <row r="129" spans="1:9" hidden="1" x14ac:dyDescent="0.25">
      <c r="A129" s="114" t="s">
        <v>260</v>
      </c>
      <c r="B129" s="115" t="s">
        <v>1705</v>
      </c>
      <c r="C129" s="116" t="s">
        <v>96</v>
      </c>
      <c r="D129" s="116">
        <v>0</v>
      </c>
      <c r="E129" s="136">
        <f ca="1">OFFSET(INDEX(Composições!A:J,MATCH(Orçamentária!A129,Composições!A:A,0),8),2,0)</f>
        <v>116.27835554999999</v>
      </c>
      <c r="F129" s="137">
        <f t="shared" ca="1" si="3"/>
        <v>0</v>
      </c>
      <c r="G129" s="138" t="e">
        <f>IF(A129&lt;&gt;"",IF(AND(#REF!="Padrão",$H$4=#REF!),BDI!$B$17,IF(AND(#REF!="Padrão",$H$4=#REF!),BDI!#REF!,IF(AND(#REF!="Diferenciado",$H$4=#REF!),BDI!$E$17,IF(AND(#REF!="Diferenciado",$H$4=#REF!),BDI!#REF!,IF(#REF!="ZERO",0))))),"")</f>
        <v>#REF!</v>
      </c>
      <c r="H129" s="139" t="e">
        <f t="shared" ca="1" si="4"/>
        <v>#REF!</v>
      </c>
      <c r="I129" s="137" t="e">
        <f t="shared" ca="1" si="5"/>
        <v>#REF!</v>
      </c>
    </row>
    <row r="130" spans="1:9" hidden="1" x14ac:dyDescent="0.25">
      <c r="A130" s="114" t="s">
        <v>262</v>
      </c>
      <c r="B130" s="115" t="s">
        <v>1706</v>
      </c>
      <c r="C130" s="116" t="s">
        <v>96</v>
      </c>
      <c r="D130" s="116">
        <v>0</v>
      </c>
      <c r="E130" s="136">
        <f ca="1">OFFSET(INDEX(Composições!A:J,MATCH(Orçamentária!A130,Composições!A:A,0),8),2,0)</f>
        <v>128.53956739885652</v>
      </c>
      <c r="F130" s="137">
        <f t="shared" ca="1" si="3"/>
        <v>0</v>
      </c>
      <c r="G130" s="138" t="e">
        <f>IF(A130&lt;&gt;"",IF(AND(#REF!="Padrão",$H$4=#REF!),BDI!$B$17,IF(AND(#REF!="Padrão",$H$4=#REF!),BDI!#REF!,IF(AND(#REF!="Diferenciado",$H$4=#REF!),BDI!$E$17,IF(AND(#REF!="Diferenciado",$H$4=#REF!),BDI!#REF!,IF(#REF!="ZERO",0))))),"")</f>
        <v>#REF!</v>
      </c>
      <c r="H130" s="139" t="e">
        <f t="shared" ca="1" si="4"/>
        <v>#REF!</v>
      </c>
      <c r="I130" s="137" t="e">
        <f t="shared" ca="1" si="5"/>
        <v>#REF!</v>
      </c>
    </row>
    <row r="131" spans="1:9" hidden="1" x14ac:dyDescent="0.25">
      <c r="A131" s="114" t="s">
        <v>266</v>
      </c>
      <c r="B131" s="115" t="s">
        <v>1707</v>
      </c>
      <c r="C131" s="116" t="s">
        <v>96</v>
      </c>
      <c r="D131" s="116">
        <v>0</v>
      </c>
      <c r="E131" s="136">
        <f ca="1">OFFSET(INDEX(Composições!A:J,MATCH(Orçamentária!A131,Composições!A:A,0),8),2,0)</f>
        <v>62.564162350000004</v>
      </c>
      <c r="F131" s="137">
        <f t="shared" ca="1" si="3"/>
        <v>0</v>
      </c>
      <c r="G131" s="138" t="e">
        <f>IF(A131&lt;&gt;"",IF(AND(#REF!="Padrão",$H$4=#REF!),BDI!$B$17,IF(AND(#REF!="Padrão",$H$4=#REF!),BDI!#REF!,IF(AND(#REF!="Diferenciado",$H$4=#REF!),BDI!$E$17,IF(AND(#REF!="Diferenciado",$H$4=#REF!),BDI!#REF!,IF(#REF!="ZERO",0))))),"")</f>
        <v>#REF!</v>
      </c>
      <c r="H131" s="139" t="e">
        <f t="shared" ca="1" si="4"/>
        <v>#REF!</v>
      </c>
      <c r="I131" s="137" t="e">
        <f t="shared" ca="1" si="5"/>
        <v>#REF!</v>
      </c>
    </row>
    <row r="132" spans="1:9" hidden="1" x14ac:dyDescent="0.25">
      <c r="A132" s="114" t="s">
        <v>268</v>
      </c>
      <c r="B132" s="115" t="s">
        <v>1708</v>
      </c>
      <c r="C132" s="116" t="s">
        <v>96</v>
      </c>
      <c r="D132" s="116">
        <v>0</v>
      </c>
      <c r="E132" s="136">
        <f ca="1">OFFSET(INDEX(Composições!A:J,MATCH(Orçamentária!A132,Composições!A:A,0),8),2,0)</f>
        <v>116.27835554999999</v>
      </c>
      <c r="F132" s="137">
        <f t="shared" ca="1" si="3"/>
        <v>0</v>
      </c>
      <c r="G132" s="138" t="e">
        <f>IF(A132&lt;&gt;"",IF(AND(#REF!="Padrão",$H$4=#REF!),BDI!$B$17,IF(AND(#REF!="Padrão",$H$4=#REF!),BDI!#REF!,IF(AND(#REF!="Diferenciado",$H$4=#REF!),BDI!$E$17,IF(AND(#REF!="Diferenciado",$H$4=#REF!),BDI!#REF!,IF(#REF!="ZERO",0))))),"")</f>
        <v>#REF!</v>
      </c>
      <c r="H132" s="139" t="e">
        <f t="shared" ca="1" si="4"/>
        <v>#REF!</v>
      </c>
      <c r="I132" s="137" t="e">
        <f t="shared" ca="1" si="5"/>
        <v>#REF!</v>
      </c>
    </row>
    <row r="133" spans="1:9" hidden="1" x14ac:dyDescent="0.25">
      <c r="A133" s="114" t="s">
        <v>270</v>
      </c>
      <c r="B133" s="115" t="s">
        <v>1709</v>
      </c>
      <c r="C133" s="116" t="s">
        <v>96</v>
      </c>
      <c r="D133" s="116">
        <v>0</v>
      </c>
      <c r="E133" s="136">
        <f ca="1">OFFSET(INDEX(Composições!A:J,MATCH(Orçamentária!A133,Composições!A:A,0),8),2,0)</f>
        <v>116.27835554999999</v>
      </c>
      <c r="F133" s="137">
        <f t="shared" ca="1" si="3"/>
        <v>0</v>
      </c>
      <c r="G133" s="138" t="e">
        <f>IF(A133&lt;&gt;"",IF(AND(#REF!="Padrão",$H$4=#REF!),BDI!$B$17,IF(AND(#REF!="Padrão",$H$4=#REF!),BDI!#REF!,IF(AND(#REF!="Diferenciado",$H$4=#REF!),BDI!$E$17,IF(AND(#REF!="Diferenciado",$H$4=#REF!),BDI!#REF!,IF(#REF!="ZERO",0))))),"")</f>
        <v>#REF!</v>
      </c>
      <c r="H133" s="139" t="e">
        <f t="shared" ca="1" si="4"/>
        <v>#REF!</v>
      </c>
      <c r="I133" s="137" t="e">
        <f t="shared" ca="1" si="5"/>
        <v>#REF!</v>
      </c>
    </row>
    <row r="134" spans="1:9" hidden="1" x14ac:dyDescent="0.25">
      <c r="A134" s="114" t="s">
        <v>271</v>
      </c>
      <c r="B134" s="115" t="s">
        <v>1710</v>
      </c>
      <c r="C134" s="116" t="s">
        <v>96</v>
      </c>
      <c r="D134" s="116">
        <v>0</v>
      </c>
      <c r="E134" s="136">
        <f ca="1">OFFSET(INDEX(Composições!A:J,MATCH(Orçamentária!A134,Composições!A:A,0),8),2,0)</f>
        <v>9.3847099000000007</v>
      </c>
      <c r="F134" s="137">
        <f t="shared" ca="1" si="3"/>
        <v>0</v>
      </c>
      <c r="G134" s="138" t="e">
        <f>IF(A134&lt;&gt;"",IF(AND(#REF!="Padrão",$H$4=#REF!),BDI!$B$17,IF(AND(#REF!="Padrão",$H$4=#REF!),BDI!#REF!,IF(AND(#REF!="Diferenciado",$H$4=#REF!),BDI!$E$17,IF(AND(#REF!="Diferenciado",$H$4=#REF!),BDI!#REF!,IF(#REF!="ZERO",0))))),"")</f>
        <v>#REF!</v>
      </c>
      <c r="H134" s="139" t="e">
        <f t="shared" ca="1" si="4"/>
        <v>#REF!</v>
      </c>
      <c r="I134" s="137" t="e">
        <f t="shared" ca="1" si="5"/>
        <v>#REF!</v>
      </c>
    </row>
    <row r="135" spans="1:9" hidden="1" x14ac:dyDescent="0.25">
      <c r="A135" s="114" t="s">
        <v>272</v>
      </c>
      <c r="B135" s="115" t="s">
        <v>1711</v>
      </c>
      <c r="C135" s="116" t="s">
        <v>96</v>
      </c>
      <c r="D135" s="116">
        <v>0</v>
      </c>
      <c r="E135" s="136">
        <f ca="1">OFFSET(INDEX(Composições!A:J,MATCH(Orçamentária!A135,Composições!A:A,0),8),2,0)</f>
        <v>42.873405000000005</v>
      </c>
      <c r="F135" s="137">
        <f t="shared" ref="F135:F198" ca="1" si="6">IF(ISNUMBER(E135),D135*E135,"")</f>
        <v>0</v>
      </c>
      <c r="G135" s="138" t="e">
        <f>IF(A135&lt;&gt;"",IF(AND(#REF!="Padrão",$H$4=#REF!),BDI!$B$17,IF(AND(#REF!="Padrão",$H$4=#REF!),BDI!#REF!,IF(AND(#REF!="Diferenciado",$H$4=#REF!),BDI!$E$17,IF(AND(#REF!="Diferenciado",$H$4=#REF!),BDI!#REF!,IF(#REF!="ZERO",0))))),"")</f>
        <v>#REF!</v>
      </c>
      <c r="H135" s="139" t="e">
        <f t="shared" ref="H135:H198" ca="1" si="7">IF(ISNUMBER(E135),ROUND(E135*(1+G135),2),"")</f>
        <v>#REF!</v>
      </c>
      <c r="I135" s="137" t="e">
        <f t="shared" ref="I135:I198" ca="1" si="8">IF(ISNUMBER(E135),ROUND(H135*D135,2),"")</f>
        <v>#REF!</v>
      </c>
    </row>
    <row r="136" spans="1:9" hidden="1" x14ac:dyDescent="0.25">
      <c r="A136" s="114" t="s">
        <v>273</v>
      </c>
      <c r="B136" s="115" t="s">
        <v>1712</v>
      </c>
      <c r="C136" s="116" t="s">
        <v>96</v>
      </c>
      <c r="D136" s="116">
        <v>0</v>
      </c>
      <c r="E136" s="136">
        <f ca="1">OFFSET(INDEX(Composições!A:J,MATCH(Orçamentária!A136,Composições!A:A,0),8),2,0)</f>
        <v>43.224525</v>
      </c>
      <c r="F136" s="137">
        <f t="shared" ca="1" si="6"/>
        <v>0</v>
      </c>
      <c r="G136" s="138" t="e">
        <f>IF(A136&lt;&gt;"",IF(AND(#REF!="Padrão",$H$4=#REF!),BDI!$B$17,IF(AND(#REF!="Padrão",$H$4=#REF!),BDI!#REF!,IF(AND(#REF!="Diferenciado",$H$4=#REF!),BDI!$E$17,IF(AND(#REF!="Diferenciado",$H$4=#REF!),BDI!#REF!,IF(#REF!="ZERO",0))))),"")</f>
        <v>#REF!</v>
      </c>
      <c r="H136" s="139" t="e">
        <f t="shared" ca="1" si="7"/>
        <v>#REF!</v>
      </c>
      <c r="I136" s="137" t="e">
        <f t="shared" ca="1" si="8"/>
        <v>#REF!</v>
      </c>
    </row>
    <row r="137" spans="1:9" hidden="1" x14ac:dyDescent="0.25">
      <c r="A137" s="114" t="s">
        <v>1713</v>
      </c>
      <c r="B137" s="115" t="s">
        <v>1714</v>
      </c>
      <c r="C137" s="116" t="s">
        <v>96</v>
      </c>
      <c r="D137" s="116">
        <v>0</v>
      </c>
      <c r="E137" s="136" t="s">
        <v>572</v>
      </c>
      <c r="F137" s="137" t="str">
        <f t="shared" si="6"/>
        <v/>
      </c>
      <c r="G137" s="138" t="e">
        <f>IF(A137&lt;&gt;"",IF(AND(#REF!="Padrão",$H$4=#REF!),BDI!$B$17,IF(AND(#REF!="Padrão",$H$4=#REF!),BDI!#REF!,IF(AND(#REF!="Diferenciado",$H$4=#REF!),BDI!$E$17,IF(AND(#REF!="Diferenciado",$H$4=#REF!),BDI!#REF!,IF(#REF!="ZERO",0))))),"")</f>
        <v>#REF!</v>
      </c>
      <c r="H137" s="139" t="str">
        <f t="shared" si="7"/>
        <v/>
      </c>
      <c r="I137" s="137" t="str">
        <f t="shared" si="8"/>
        <v/>
      </c>
    </row>
    <row r="138" spans="1:9" ht="25.5" hidden="1" x14ac:dyDescent="0.25">
      <c r="A138" s="114" t="s">
        <v>1715</v>
      </c>
      <c r="B138" s="115" t="s">
        <v>1716</v>
      </c>
      <c r="C138" s="116" t="s">
        <v>96</v>
      </c>
      <c r="D138" s="116">
        <v>0</v>
      </c>
      <c r="E138" s="136" t="s">
        <v>572</v>
      </c>
      <c r="F138" s="137" t="str">
        <f t="shared" si="6"/>
        <v/>
      </c>
      <c r="G138" s="138" t="e">
        <f>IF(A138&lt;&gt;"",IF(AND(#REF!="Padrão",$H$4=#REF!),BDI!$B$17,IF(AND(#REF!="Padrão",$H$4=#REF!),BDI!#REF!,IF(AND(#REF!="Diferenciado",$H$4=#REF!),BDI!$E$17,IF(AND(#REF!="Diferenciado",$H$4=#REF!),BDI!#REF!,IF(#REF!="ZERO",0))))),"")</f>
        <v>#REF!</v>
      </c>
      <c r="H138" s="139" t="str">
        <f t="shared" si="7"/>
        <v/>
      </c>
      <c r="I138" s="137" t="str">
        <f t="shared" si="8"/>
        <v/>
      </c>
    </row>
    <row r="139" spans="1:9" hidden="1" x14ac:dyDescent="0.25">
      <c r="A139" s="114" t="s">
        <v>1717</v>
      </c>
      <c r="B139" s="115" t="s">
        <v>1718</v>
      </c>
      <c r="C139" s="116" t="s">
        <v>96</v>
      </c>
      <c r="D139" s="116">
        <v>0</v>
      </c>
      <c r="E139" s="136" t="s">
        <v>572</v>
      </c>
      <c r="F139" s="137" t="str">
        <f t="shared" si="6"/>
        <v/>
      </c>
      <c r="G139" s="138" t="e">
        <f>IF(A139&lt;&gt;"",IF(AND(#REF!="Padrão",$H$4=#REF!),BDI!$B$17,IF(AND(#REF!="Padrão",$H$4=#REF!),BDI!#REF!,IF(AND(#REF!="Diferenciado",$H$4=#REF!),BDI!$E$17,IF(AND(#REF!="Diferenciado",$H$4=#REF!),BDI!#REF!,IF(#REF!="ZERO",0))))),"")</f>
        <v>#REF!</v>
      </c>
      <c r="H139" s="139" t="str">
        <f t="shared" si="7"/>
        <v/>
      </c>
      <c r="I139" s="137" t="str">
        <f t="shared" si="8"/>
        <v/>
      </c>
    </row>
    <row r="140" spans="1:9" hidden="1" x14ac:dyDescent="0.25">
      <c r="A140" s="114" t="s">
        <v>1719</v>
      </c>
      <c r="B140" s="115" t="s">
        <v>1720</v>
      </c>
      <c r="C140" s="116" t="s">
        <v>96</v>
      </c>
      <c r="D140" s="116">
        <v>0</v>
      </c>
      <c r="E140" s="136" t="s">
        <v>572</v>
      </c>
      <c r="F140" s="137" t="str">
        <f t="shared" si="6"/>
        <v/>
      </c>
      <c r="G140" s="138" t="e">
        <f>IF(A140&lt;&gt;"",IF(AND(#REF!="Padrão",$H$4=#REF!),BDI!$B$17,IF(AND(#REF!="Padrão",$H$4=#REF!),BDI!#REF!,IF(AND(#REF!="Diferenciado",$H$4=#REF!),BDI!$E$17,IF(AND(#REF!="Diferenciado",$H$4=#REF!),BDI!#REF!,IF(#REF!="ZERO",0))))),"")</f>
        <v>#REF!</v>
      </c>
      <c r="H140" s="139" t="str">
        <f t="shared" si="7"/>
        <v/>
      </c>
      <c r="I140" s="137" t="str">
        <f t="shared" si="8"/>
        <v/>
      </c>
    </row>
    <row r="141" spans="1:9" hidden="1" x14ac:dyDescent="0.25">
      <c r="A141" s="114" t="s">
        <v>1721</v>
      </c>
      <c r="B141" s="115" t="s">
        <v>1722</v>
      </c>
      <c r="C141" s="116" t="s">
        <v>96</v>
      </c>
      <c r="D141" s="116">
        <v>0</v>
      </c>
      <c r="E141" s="136" t="s">
        <v>572</v>
      </c>
      <c r="F141" s="137" t="str">
        <f t="shared" si="6"/>
        <v/>
      </c>
      <c r="G141" s="138" t="e">
        <f>IF(A141&lt;&gt;"",IF(AND(#REF!="Padrão",$H$4=#REF!),BDI!$B$17,IF(AND(#REF!="Padrão",$H$4=#REF!),BDI!#REF!,IF(AND(#REF!="Diferenciado",$H$4=#REF!),BDI!$E$17,IF(AND(#REF!="Diferenciado",$H$4=#REF!),BDI!#REF!,IF(#REF!="ZERO",0))))),"")</f>
        <v>#REF!</v>
      </c>
      <c r="H141" s="139" t="str">
        <f t="shared" si="7"/>
        <v/>
      </c>
      <c r="I141" s="137" t="str">
        <f t="shared" si="8"/>
        <v/>
      </c>
    </row>
    <row r="142" spans="1:9" hidden="1" x14ac:dyDescent="0.25">
      <c r="A142" s="114" t="s">
        <v>1723</v>
      </c>
      <c r="B142" s="115" t="s">
        <v>1724</v>
      </c>
      <c r="C142" s="116" t="s">
        <v>96</v>
      </c>
      <c r="D142" s="116">
        <v>0</v>
      </c>
      <c r="E142" s="136" t="s">
        <v>572</v>
      </c>
      <c r="F142" s="137" t="str">
        <f t="shared" si="6"/>
        <v/>
      </c>
      <c r="G142" s="138" t="e">
        <f>IF(A142&lt;&gt;"",IF(AND(#REF!="Padrão",$H$4=#REF!),BDI!$B$17,IF(AND(#REF!="Padrão",$H$4=#REF!),BDI!#REF!,IF(AND(#REF!="Diferenciado",$H$4=#REF!),BDI!$E$17,IF(AND(#REF!="Diferenciado",$H$4=#REF!),BDI!#REF!,IF(#REF!="ZERO",0))))),"")</f>
        <v>#REF!</v>
      </c>
      <c r="H142" s="139" t="str">
        <f t="shared" si="7"/>
        <v/>
      </c>
      <c r="I142" s="137" t="str">
        <f t="shared" si="8"/>
        <v/>
      </c>
    </row>
    <row r="143" spans="1:9" hidden="1" x14ac:dyDescent="0.25">
      <c r="A143" s="114" t="s">
        <v>275</v>
      </c>
      <c r="B143" s="115" t="s">
        <v>1725</v>
      </c>
      <c r="C143" s="116" t="s">
        <v>96</v>
      </c>
      <c r="D143" s="116">
        <v>0</v>
      </c>
      <c r="E143" s="136">
        <f ca="1">OFFSET(INDEX(Composições!A:J,MATCH(Orçamentária!A143,Composições!A:A,0),8),2,0)</f>
        <v>0.95</v>
      </c>
      <c r="F143" s="137">
        <f t="shared" ca="1" si="6"/>
        <v>0</v>
      </c>
      <c r="G143" s="138" t="e">
        <f>IF(A143&lt;&gt;"",IF(AND(#REF!="Padrão",$H$4=#REF!),BDI!$B$17,IF(AND(#REF!="Padrão",$H$4=#REF!),BDI!#REF!,IF(AND(#REF!="Diferenciado",$H$4=#REF!),BDI!$E$17,IF(AND(#REF!="Diferenciado",$H$4=#REF!),BDI!#REF!,IF(#REF!="ZERO",0))))),"")</f>
        <v>#REF!</v>
      </c>
      <c r="H143" s="139" t="e">
        <f t="shared" ca="1" si="7"/>
        <v>#REF!</v>
      </c>
      <c r="I143" s="137" t="e">
        <f t="shared" ca="1" si="8"/>
        <v>#REF!</v>
      </c>
    </row>
    <row r="144" spans="1:9" hidden="1" x14ac:dyDescent="0.25">
      <c r="A144" s="114" t="s">
        <v>277</v>
      </c>
      <c r="B144" s="115" t="s">
        <v>1726</v>
      </c>
      <c r="C144" s="116" t="s">
        <v>96</v>
      </c>
      <c r="D144" s="116">
        <v>0</v>
      </c>
      <c r="E144" s="136">
        <f ca="1">OFFSET(INDEX(Composições!A:J,MATCH(Orçamentária!A144,Composições!A:A,0),8),2,0)</f>
        <v>58.281549999999996</v>
      </c>
      <c r="F144" s="137">
        <f t="shared" ca="1" si="6"/>
        <v>0</v>
      </c>
      <c r="G144" s="138" t="e">
        <f>IF(A144&lt;&gt;"",IF(AND(#REF!="Padrão",$H$4=#REF!),BDI!$B$17,IF(AND(#REF!="Padrão",$H$4=#REF!),BDI!#REF!,IF(AND(#REF!="Diferenciado",$H$4=#REF!),BDI!$E$17,IF(AND(#REF!="Diferenciado",$H$4=#REF!),BDI!#REF!,IF(#REF!="ZERO",0))))),"")</f>
        <v>#REF!</v>
      </c>
      <c r="H144" s="139" t="e">
        <f t="shared" ca="1" si="7"/>
        <v>#REF!</v>
      </c>
      <c r="I144" s="137" t="e">
        <f t="shared" ca="1" si="8"/>
        <v>#REF!</v>
      </c>
    </row>
    <row r="145" spans="1:9" hidden="1" x14ac:dyDescent="0.25">
      <c r="A145" s="114" t="s">
        <v>280</v>
      </c>
      <c r="B145" s="115" t="s">
        <v>1727</v>
      </c>
      <c r="C145" s="116" t="s">
        <v>96</v>
      </c>
      <c r="D145" s="116">
        <v>0</v>
      </c>
      <c r="E145" s="136">
        <f ca="1">OFFSET(INDEX(Composições!A:J,MATCH(Orçamentária!A145,Composições!A:A,0),8),2,0)</f>
        <v>58.347007849999997</v>
      </c>
      <c r="F145" s="137">
        <f t="shared" ca="1" si="6"/>
        <v>0</v>
      </c>
      <c r="G145" s="138" t="e">
        <f>IF(A145&lt;&gt;"",IF(AND(#REF!="Padrão",$H$4=#REF!),BDI!$B$17,IF(AND(#REF!="Padrão",$H$4=#REF!),BDI!#REF!,IF(AND(#REF!="Diferenciado",$H$4=#REF!),BDI!$E$17,IF(AND(#REF!="Diferenciado",$H$4=#REF!),BDI!#REF!,IF(#REF!="ZERO",0))))),"")</f>
        <v>#REF!</v>
      </c>
      <c r="H145" s="139" t="e">
        <f t="shared" ca="1" si="7"/>
        <v>#REF!</v>
      </c>
      <c r="I145" s="137" t="e">
        <f t="shared" ca="1" si="8"/>
        <v>#REF!</v>
      </c>
    </row>
    <row r="146" spans="1:9" hidden="1" x14ac:dyDescent="0.25">
      <c r="A146" s="114" t="s">
        <v>287</v>
      </c>
      <c r="B146" s="115" t="s">
        <v>1728</v>
      </c>
      <c r="C146" s="116" t="s">
        <v>96</v>
      </c>
      <c r="D146" s="116">
        <v>0</v>
      </c>
      <c r="E146" s="136">
        <f ca="1">OFFSET(INDEX(Composições!A:J,MATCH(Orçamentária!A146,Composições!A:A,0),8),2,0)</f>
        <v>26.713236199999994</v>
      </c>
      <c r="F146" s="137">
        <f t="shared" ca="1" si="6"/>
        <v>0</v>
      </c>
      <c r="G146" s="138" t="e">
        <f>IF(A146&lt;&gt;"",IF(AND(#REF!="Padrão",$H$4=#REF!),BDI!$B$17,IF(AND(#REF!="Padrão",$H$4=#REF!),BDI!#REF!,IF(AND(#REF!="Diferenciado",$H$4=#REF!),BDI!$E$17,IF(AND(#REF!="Diferenciado",$H$4=#REF!),BDI!#REF!,IF(#REF!="ZERO",0))))),"")</f>
        <v>#REF!</v>
      </c>
      <c r="H146" s="139" t="e">
        <f t="shared" ca="1" si="7"/>
        <v>#REF!</v>
      </c>
      <c r="I146" s="137" t="e">
        <f t="shared" ca="1" si="8"/>
        <v>#REF!</v>
      </c>
    </row>
    <row r="147" spans="1:9" hidden="1" x14ac:dyDescent="0.25">
      <c r="A147" s="114" t="s">
        <v>288</v>
      </c>
      <c r="B147" s="115" t="s">
        <v>1729</v>
      </c>
      <c r="C147" s="116" t="s">
        <v>96</v>
      </c>
      <c r="D147" s="116">
        <v>0</v>
      </c>
      <c r="E147" s="136">
        <f ca="1">OFFSET(INDEX(Composições!A:J,MATCH(Orçamentária!A147,Composições!A:A,0),8),2,0)</f>
        <v>34.408147849999992</v>
      </c>
      <c r="F147" s="137">
        <f t="shared" ca="1" si="6"/>
        <v>0</v>
      </c>
      <c r="G147" s="138" t="e">
        <f>IF(A147&lt;&gt;"",IF(AND(#REF!="Padrão",$H$4=#REF!),BDI!$B$17,IF(AND(#REF!="Padrão",$H$4=#REF!),BDI!#REF!,IF(AND(#REF!="Diferenciado",$H$4=#REF!),BDI!$E$17,IF(AND(#REF!="Diferenciado",$H$4=#REF!),BDI!#REF!,IF(#REF!="ZERO",0))))),"")</f>
        <v>#REF!</v>
      </c>
      <c r="H147" s="139" t="e">
        <f t="shared" ca="1" si="7"/>
        <v>#REF!</v>
      </c>
      <c r="I147" s="137" t="e">
        <f t="shared" ca="1" si="8"/>
        <v>#REF!</v>
      </c>
    </row>
    <row r="148" spans="1:9" hidden="1" x14ac:dyDescent="0.25">
      <c r="A148" s="114" t="s">
        <v>290</v>
      </c>
      <c r="B148" s="115" t="s">
        <v>1730</v>
      </c>
      <c r="C148" s="116" t="s">
        <v>96</v>
      </c>
      <c r="D148" s="116">
        <v>0</v>
      </c>
      <c r="E148" s="136">
        <f ca="1">OFFSET(INDEX(Composições!A:J,MATCH(Orçamentária!A148,Composições!A:A,0),8),2,0)</f>
        <v>17.161749999999998</v>
      </c>
      <c r="F148" s="137">
        <f t="shared" ca="1" si="6"/>
        <v>0</v>
      </c>
      <c r="G148" s="138" t="e">
        <f>IF(A148&lt;&gt;"",IF(AND(#REF!="Padrão",$H$4=#REF!),BDI!$B$17,IF(AND(#REF!="Padrão",$H$4=#REF!),BDI!#REF!,IF(AND(#REF!="Diferenciado",$H$4=#REF!),BDI!$E$17,IF(AND(#REF!="Diferenciado",$H$4=#REF!),BDI!#REF!,IF(#REF!="ZERO",0))))),"")</f>
        <v>#REF!</v>
      </c>
      <c r="H148" s="139" t="e">
        <f t="shared" ca="1" si="7"/>
        <v>#REF!</v>
      </c>
      <c r="I148" s="137" t="e">
        <f t="shared" ca="1" si="8"/>
        <v>#REF!</v>
      </c>
    </row>
    <row r="149" spans="1:9" hidden="1" x14ac:dyDescent="0.25">
      <c r="A149" s="114" t="s">
        <v>293</v>
      </c>
      <c r="B149" s="115" t="s">
        <v>1731</v>
      </c>
      <c r="C149" s="116" t="s">
        <v>96</v>
      </c>
      <c r="D149" s="116">
        <v>0</v>
      </c>
      <c r="E149" s="136">
        <f ca="1">OFFSET(INDEX(Composições!A:J,MATCH(Orçamentária!A149,Composições!A:A,0),8),2,0)</f>
        <v>54.415992399999993</v>
      </c>
      <c r="F149" s="137">
        <f t="shared" ca="1" si="6"/>
        <v>0</v>
      </c>
      <c r="G149" s="138" t="e">
        <f>IF(A149&lt;&gt;"",IF(AND(#REF!="Padrão",$H$4=#REF!),BDI!$B$17,IF(AND(#REF!="Padrão",$H$4=#REF!),BDI!#REF!,IF(AND(#REF!="Diferenciado",$H$4=#REF!),BDI!$E$17,IF(AND(#REF!="Diferenciado",$H$4=#REF!),BDI!#REF!,IF(#REF!="ZERO",0))))),"")</f>
        <v>#REF!</v>
      </c>
      <c r="H149" s="139" t="e">
        <f t="shared" ca="1" si="7"/>
        <v>#REF!</v>
      </c>
      <c r="I149" s="137" t="e">
        <f t="shared" ca="1" si="8"/>
        <v>#REF!</v>
      </c>
    </row>
    <row r="150" spans="1:9" hidden="1" x14ac:dyDescent="0.25">
      <c r="A150" s="114" t="s">
        <v>294</v>
      </c>
      <c r="B150" s="115" t="s">
        <v>1732</v>
      </c>
      <c r="C150" s="116" t="s">
        <v>96</v>
      </c>
      <c r="D150" s="116">
        <v>0</v>
      </c>
      <c r="E150" s="136">
        <f ca="1">OFFSET(INDEX(Composições!A:J,MATCH(Orçamentária!A150,Composições!A:A,0),8),2,0)</f>
        <v>29.427862149999999</v>
      </c>
      <c r="F150" s="137">
        <f t="shared" ca="1" si="6"/>
        <v>0</v>
      </c>
      <c r="G150" s="138" t="e">
        <f>IF(A150&lt;&gt;"",IF(AND(#REF!="Padrão",$H$4=#REF!),BDI!$B$17,IF(AND(#REF!="Padrão",$H$4=#REF!),BDI!#REF!,IF(AND(#REF!="Diferenciado",$H$4=#REF!),BDI!$E$17,IF(AND(#REF!="Diferenciado",$H$4=#REF!),BDI!#REF!,IF(#REF!="ZERO",0))))),"")</f>
        <v>#REF!</v>
      </c>
      <c r="H150" s="139" t="e">
        <f t="shared" ca="1" si="7"/>
        <v>#REF!</v>
      </c>
      <c r="I150" s="137" t="e">
        <f t="shared" ca="1" si="8"/>
        <v>#REF!</v>
      </c>
    </row>
    <row r="151" spans="1:9" hidden="1" x14ac:dyDescent="0.25">
      <c r="A151" s="114" t="s">
        <v>295</v>
      </c>
      <c r="B151" s="115" t="s">
        <v>1733</v>
      </c>
      <c r="C151" s="116" t="s">
        <v>96</v>
      </c>
      <c r="D151" s="116">
        <v>0</v>
      </c>
      <c r="E151" s="136">
        <f ca="1">OFFSET(INDEX(Composições!A:J,MATCH(Orçamentária!A151,Composições!A:A,0),8),2,0)</f>
        <v>114.9785</v>
      </c>
      <c r="F151" s="137">
        <f t="shared" ca="1" si="6"/>
        <v>0</v>
      </c>
      <c r="G151" s="138" t="e">
        <f>IF(A151&lt;&gt;"",IF(AND(#REF!="Padrão",$H$4=#REF!),BDI!$B$17,IF(AND(#REF!="Padrão",$H$4=#REF!),BDI!#REF!,IF(AND(#REF!="Diferenciado",$H$4=#REF!),BDI!$E$17,IF(AND(#REF!="Diferenciado",$H$4=#REF!),BDI!#REF!,IF(#REF!="ZERO",0))))),"")</f>
        <v>#REF!</v>
      </c>
      <c r="H151" s="139" t="e">
        <f t="shared" ca="1" si="7"/>
        <v>#REF!</v>
      </c>
      <c r="I151" s="137" t="e">
        <f t="shared" ca="1" si="8"/>
        <v>#REF!</v>
      </c>
    </row>
    <row r="152" spans="1:9" hidden="1" x14ac:dyDescent="0.25">
      <c r="A152" s="114" t="s">
        <v>297</v>
      </c>
      <c r="B152" s="115" t="s">
        <v>1734</v>
      </c>
      <c r="C152" s="116" t="s">
        <v>96</v>
      </c>
      <c r="D152" s="116">
        <v>0</v>
      </c>
      <c r="E152" s="136">
        <f ca="1">OFFSET(INDEX(Composições!A:J,MATCH(Orçamentária!A152,Composições!A:A,0),8),2,0)</f>
        <v>31.42315</v>
      </c>
      <c r="F152" s="137">
        <f t="shared" ca="1" si="6"/>
        <v>0</v>
      </c>
      <c r="G152" s="138" t="e">
        <f>IF(A152&lt;&gt;"",IF(AND(#REF!="Padrão",$H$4=#REF!),BDI!$B$17,IF(AND(#REF!="Padrão",$H$4=#REF!),BDI!#REF!,IF(AND(#REF!="Diferenciado",$H$4=#REF!),BDI!$E$17,IF(AND(#REF!="Diferenciado",$H$4=#REF!),BDI!#REF!,IF(#REF!="ZERO",0))))),"")</f>
        <v>#REF!</v>
      </c>
      <c r="H152" s="139" t="e">
        <f t="shared" ca="1" si="7"/>
        <v>#REF!</v>
      </c>
      <c r="I152" s="137" t="e">
        <f t="shared" ca="1" si="8"/>
        <v>#REF!</v>
      </c>
    </row>
    <row r="153" spans="1:9" hidden="1" x14ac:dyDescent="0.25">
      <c r="A153" s="114" t="s">
        <v>300</v>
      </c>
      <c r="B153" s="115" t="s">
        <v>1735</v>
      </c>
      <c r="C153" s="116" t="s">
        <v>96</v>
      </c>
      <c r="D153" s="116">
        <v>0</v>
      </c>
      <c r="E153" s="136">
        <f ca="1">OFFSET(INDEX(Composições!A:J,MATCH(Orçamentária!A153,Composições!A:A,0),8),2,0)</f>
        <v>2.5245793999999995</v>
      </c>
      <c r="F153" s="137">
        <f t="shared" ca="1" si="6"/>
        <v>0</v>
      </c>
      <c r="G153" s="138" t="e">
        <f>IF(A153&lt;&gt;"",IF(AND(#REF!="Padrão",$H$4=#REF!),BDI!$B$17,IF(AND(#REF!="Padrão",$H$4=#REF!),BDI!#REF!,IF(AND(#REF!="Diferenciado",$H$4=#REF!),BDI!$E$17,IF(AND(#REF!="Diferenciado",$H$4=#REF!),BDI!#REF!,IF(#REF!="ZERO",0))))),"")</f>
        <v>#REF!</v>
      </c>
      <c r="H153" s="139" t="e">
        <f t="shared" ca="1" si="7"/>
        <v>#REF!</v>
      </c>
      <c r="I153" s="137" t="e">
        <f t="shared" ca="1" si="8"/>
        <v>#REF!</v>
      </c>
    </row>
    <row r="154" spans="1:9" hidden="1" x14ac:dyDescent="0.25">
      <c r="A154" s="114" t="s">
        <v>301</v>
      </c>
      <c r="B154" s="115" t="s">
        <v>1736</v>
      </c>
      <c r="C154" s="116" t="s">
        <v>96</v>
      </c>
      <c r="D154" s="116">
        <v>0</v>
      </c>
      <c r="E154" s="136">
        <f ca="1">OFFSET(INDEX(Composições!A:J,MATCH(Orçamentária!A154,Composições!A:A,0),8),2,0)</f>
        <v>43.468199999999996</v>
      </c>
      <c r="F154" s="137">
        <f t="shared" ca="1" si="6"/>
        <v>0</v>
      </c>
      <c r="G154" s="138" t="e">
        <f>IF(A154&lt;&gt;"",IF(AND(#REF!="Padrão",$H$4=#REF!),BDI!$B$17,IF(AND(#REF!="Padrão",$H$4=#REF!),BDI!#REF!,IF(AND(#REF!="Diferenciado",$H$4=#REF!),BDI!$E$17,IF(AND(#REF!="Diferenciado",$H$4=#REF!),BDI!#REF!,IF(#REF!="ZERO",0))))),"")</f>
        <v>#REF!</v>
      </c>
      <c r="H154" s="139" t="e">
        <f t="shared" ca="1" si="7"/>
        <v>#REF!</v>
      </c>
      <c r="I154" s="137" t="e">
        <f t="shared" ca="1" si="8"/>
        <v>#REF!</v>
      </c>
    </row>
    <row r="155" spans="1:9" hidden="1" x14ac:dyDescent="0.25">
      <c r="A155" s="114" t="s">
        <v>302</v>
      </c>
      <c r="B155" s="115" t="s">
        <v>1737</v>
      </c>
      <c r="C155" s="116" t="s">
        <v>94</v>
      </c>
      <c r="D155" s="116">
        <v>0</v>
      </c>
      <c r="E155" s="136">
        <f ca="1">OFFSET(INDEX(Composições!A:J,MATCH(Orçamentária!A155,Composições!A:A,0),8),2,0)</f>
        <v>10.374043699999998</v>
      </c>
      <c r="F155" s="137">
        <f t="shared" ca="1" si="6"/>
        <v>0</v>
      </c>
      <c r="G155" s="138" t="e">
        <f>IF(A155&lt;&gt;"",IF(AND(#REF!="Padrão",$H$4=#REF!),BDI!$B$17,IF(AND(#REF!="Padrão",$H$4=#REF!),BDI!#REF!,IF(AND(#REF!="Diferenciado",$H$4=#REF!),BDI!$E$17,IF(AND(#REF!="Diferenciado",$H$4=#REF!),BDI!#REF!,IF(#REF!="ZERO",0))))),"")</f>
        <v>#REF!</v>
      </c>
      <c r="H155" s="139" t="e">
        <f t="shared" ca="1" si="7"/>
        <v>#REF!</v>
      </c>
      <c r="I155" s="137" t="e">
        <f t="shared" ca="1" si="8"/>
        <v>#REF!</v>
      </c>
    </row>
    <row r="156" spans="1:9" hidden="1" x14ac:dyDescent="0.25">
      <c r="A156" s="114" t="s">
        <v>304</v>
      </c>
      <c r="B156" s="115" t="s">
        <v>1738</v>
      </c>
      <c r="C156" s="116" t="s">
        <v>96</v>
      </c>
      <c r="D156" s="116">
        <v>0</v>
      </c>
      <c r="E156" s="136">
        <f ca="1">OFFSET(INDEX(Composições!A:J,MATCH(Orçamentária!A156,Composições!A:A,0),8),2,0)</f>
        <v>6.3878000000000004</v>
      </c>
      <c r="F156" s="137">
        <f t="shared" ca="1" si="6"/>
        <v>0</v>
      </c>
      <c r="G156" s="138" t="e">
        <f>IF(A156&lt;&gt;"",IF(AND(#REF!="Padrão",$H$4=#REF!),BDI!$B$17,IF(AND(#REF!="Padrão",$H$4=#REF!),BDI!#REF!,IF(AND(#REF!="Diferenciado",$H$4=#REF!),BDI!$E$17,IF(AND(#REF!="Diferenciado",$H$4=#REF!),BDI!#REF!,IF(#REF!="ZERO",0))))),"")</f>
        <v>#REF!</v>
      </c>
      <c r="H156" s="139" t="e">
        <f t="shared" ca="1" si="7"/>
        <v>#REF!</v>
      </c>
      <c r="I156" s="137" t="e">
        <f t="shared" ca="1" si="8"/>
        <v>#REF!</v>
      </c>
    </row>
    <row r="157" spans="1:9" hidden="1" x14ac:dyDescent="0.25">
      <c r="A157" s="114" t="s">
        <v>306</v>
      </c>
      <c r="B157" s="115" t="s">
        <v>307</v>
      </c>
      <c r="C157" s="116" t="s">
        <v>94</v>
      </c>
      <c r="D157" s="116">
        <v>0</v>
      </c>
      <c r="E157" s="136">
        <f ca="1">OFFSET(INDEX(Composições!A:J,MATCH(Orçamentária!A157,Composições!A:A,0),8),2,0)</f>
        <v>5.1347500000000004</v>
      </c>
      <c r="F157" s="137">
        <f t="shared" ca="1" si="6"/>
        <v>0</v>
      </c>
      <c r="G157" s="138" t="e">
        <f>IF(A157&lt;&gt;"",IF(AND(#REF!="Padrão",$H$4=#REF!),BDI!$B$17,IF(AND(#REF!="Padrão",$H$4=#REF!),BDI!#REF!,IF(AND(#REF!="Diferenciado",$H$4=#REF!),BDI!$E$17,IF(AND(#REF!="Diferenciado",$H$4=#REF!),BDI!#REF!,IF(#REF!="ZERO",0))))),"")</f>
        <v>#REF!</v>
      </c>
      <c r="H157" s="139" t="e">
        <f t="shared" ca="1" si="7"/>
        <v>#REF!</v>
      </c>
      <c r="I157" s="137" t="e">
        <f t="shared" ca="1" si="8"/>
        <v>#REF!</v>
      </c>
    </row>
    <row r="158" spans="1:9" hidden="1" x14ac:dyDescent="0.25">
      <c r="A158" s="114" t="s">
        <v>308</v>
      </c>
      <c r="B158" s="115" t="s">
        <v>1739</v>
      </c>
      <c r="C158" s="116" t="s">
        <v>94</v>
      </c>
      <c r="D158" s="116">
        <v>0</v>
      </c>
      <c r="E158" s="136">
        <f ca="1">OFFSET(INDEX(Composições!A:J,MATCH(Orçamentária!A158,Composições!A:A,0),8),2,0)</f>
        <v>18.257575000000003</v>
      </c>
      <c r="F158" s="137">
        <f t="shared" ca="1" si="6"/>
        <v>0</v>
      </c>
      <c r="G158" s="138" t="e">
        <f>IF(A158&lt;&gt;"",IF(AND(#REF!="Padrão",$H$4=#REF!),BDI!$B$17,IF(AND(#REF!="Padrão",$H$4=#REF!),BDI!#REF!,IF(AND(#REF!="Diferenciado",$H$4=#REF!),BDI!$E$17,IF(AND(#REF!="Diferenciado",$H$4=#REF!),BDI!#REF!,IF(#REF!="ZERO",0))))),"")</f>
        <v>#REF!</v>
      </c>
      <c r="H158" s="139" t="e">
        <f t="shared" ca="1" si="7"/>
        <v>#REF!</v>
      </c>
      <c r="I158" s="137" t="e">
        <f t="shared" ca="1" si="8"/>
        <v>#REF!</v>
      </c>
    </row>
    <row r="159" spans="1:9" hidden="1" x14ac:dyDescent="0.25">
      <c r="A159" s="114" t="s">
        <v>310</v>
      </c>
      <c r="B159" s="115" t="s">
        <v>1740</v>
      </c>
      <c r="C159" s="116" t="s">
        <v>96</v>
      </c>
      <c r="D159" s="116">
        <v>0</v>
      </c>
      <c r="E159" s="136">
        <f ca="1">OFFSET(INDEX(Composições!A:J,MATCH(Orçamentária!A159,Composições!A:A,0),8),2,0)</f>
        <v>65.7286</v>
      </c>
      <c r="F159" s="137">
        <f t="shared" ca="1" si="6"/>
        <v>0</v>
      </c>
      <c r="G159" s="138" t="e">
        <f>IF(A159&lt;&gt;"",IF(AND(#REF!="Padrão",$H$4=#REF!),BDI!$B$17,IF(AND(#REF!="Padrão",$H$4=#REF!),BDI!#REF!,IF(AND(#REF!="Diferenciado",$H$4=#REF!),BDI!$E$17,IF(AND(#REF!="Diferenciado",$H$4=#REF!),BDI!#REF!,IF(#REF!="ZERO",0))))),"")</f>
        <v>#REF!</v>
      </c>
      <c r="H159" s="139" t="e">
        <f t="shared" ca="1" si="7"/>
        <v>#REF!</v>
      </c>
      <c r="I159" s="137" t="e">
        <f t="shared" ca="1" si="8"/>
        <v>#REF!</v>
      </c>
    </row>
    <row r="160" spans="1:9" hidden="1" x14ac:dyDescent="0.25">
      <c r="A160" s="114" t="s">
        <v>313</v>
      </c>
      <c r="B160" s="115" t="s">
        <v>1741</v>
      </c>
      <c r="C160" s="116" t="s">
        <v>96</v>
      </c>
      <c r="D160" s="116">
        <v>0</v>
      </c>
      <c r="E160" s="136">
        <f ca="1">OFFSET(INDEX(Composições!A:J,MATCH(Orçamentária!A160,Composições!A:A,0),8),2,0)</f>
        <v>27.009925000000003</v>
      </c>
      <c r="F160" s="137">
        <f t="shared" ca="1" si="6"/>
        <v>0</v>
      </c>
      <c r="G160" s="138" t="e">
        <f>IF(A160&lt;&gt;"",IF(AND(#REF!="Padrão",$H$4=#REF!),BDI!$B$17,IF(AND(#REF!="Padrão",$H$4=#REF!),BDI!#REF!,IF(AND(#REF!="Diferenciado",$H$4=#REF!),BDI!$E$17,IF(AND(#REF!="Diferenciado",$H$4=#REF!),BDI!#REF!,IF(#REF!="ZERO",0))))),"")</f>
        <v>#REF!</v>
      </c>
      <c r="H160" s="139" t="e">
        <f t="shared" ca="1" si="7"/>
        <v>#REF!</v>
      </c>
      <c r="I160" s="137" t="e">
        <f t="shared" ca="1" si="8"/>
        <v>#REF!</v>
      </c>
    </row>
    <row r="161" spans="1:9" hidden="1" x14ac:dyDescent="0.25">
      <c r="A161" s="114" t="s">
        <v>314</v>
      </c>
      <c r="B161" s="115" t="s">
        <v>1742</v>
      </c>
      <c r="C161" s="116" t="s">
        <v>94</v>
      </c>
      <c r="D161" s="116">
        <v>0</v>
      </c>
      <c r="E161" s="136">
        <f ca="1">OFFSET(INDEX(Composições!A:J,MATCH(Orçamentária!A161,Composições!A:A,0),8),2,0)</f>
        <v>20.518591149999999</v>
      </c>
      <c r="F161" s="137">
        <f t="shared" ca="1" si="6"/>
        <v>0</v>
      </c>
      <c r="G161" s="138" t="e">
        <f>IF(A161&lt;&gt;"",IF(AND(#REF!="Padrão",$H$4=#REF!),BDI!$B$17,IF(AND(#REF!="Padrão",$H$4=#REF!),BDI!#REF!,IF(AND(#REF!="Diferenciado",$H$4=#REF!),BDI!$E$17,IF(AND(#REF!="Diferenciado",$H$4=#REF!),BDI!#REF!,IF(#REF!="ZERO",0))))),"")</f>
        <v>#REF!</v>
      </c>
      <c r="H161" s="139" t="e">
        <f t="shared" ca="1" si="7"/>
        <v>#REF!</v>
      </c>
      <c r="I161" s="137" t="e">
        <f t="shared" ca="1" si="8"/>
        <v>#REF!</v>
      </c>
    </row>
    <row r="162" spans="1:9" hidden="1" x14ac:dyDescent="0.25">
      <c r="A162" s="114" t="s">
        <v>317</v>
      </c>
      <c r="B162" s="115" t="s">
        <v>1743</v>
      </c>
      <c r="C162" s="116" t="s">
        <v>96</v>
      </c>
      <c r="D162" s="116">
        <v>0</v>
      </c>
      <c r="E162" s="136">
        <f ca="1">OFFSET(INDEX(Composições!A:J,MATCH(Orçamentária!A162,Composições!A:A,0),8),2,0)</f>
        <v>129.600425</v>
      </c>
      <c r="F162" s="137">
        <f t="shared" ca="1" si="6"/>
        <v>0</v>
      </c>
      <c r="G162" s="138" t="e">
        <f>IF(A162&lt;&gt;"",IF(AND(#REF!="Padrão",$H$4=#REF!),BDI!$B$17,IF(AND(#REF!="Padrão",$H$4=#REF!),BDI!#REF!,IF(AND(#REF!="Diferenciado",$H$4=#REF!),BDI!$E$17,IF(AND(#REF!="Diferenciado",$H$4=#REF!),BDI!#REF!,IF(#REF!="ZERO",0))))),"")</f>
        <v>#REF!</v>
      </c>
      <c r="H162" s="139" t="e">
        <f t="shared" ca="1" si="7"/>
        <v>#REF!</v>
      </c>
      <c r="I162" s="137" t="e">
        <f t="shared" ca="1" si="8"/>
        <v>#REF!</v>
      </c>
    </row>
    <row r="163" spans="1:9" hidden="1" x14ac:dyDescent="0.25">
      <c r="A163" s="114" t="s">
        <v>319</v>
      </c>
      <c r="B163" s="115" t="s">
        <v>1744</v>
      </c>
      <c r="C163" s="116" t="s">
        <v>96</v>
      </c>
      <c r="D163" s="116">
        <v>0</v>
      </c>
      <c r="E163" s="136">
        <f ca="1">OFFSET(INDEX(Composições!A:J,MATCH(Orçamentária!A163,Composições!A:A,0),8),2,0)</f>
        <v>182.18529999999998</v>
      </c>
      <c r="F163" s="137">
        <f t="shared" ca="1" si="6"/>
        <v>0</v>
      </c>
      <c r="G163" s="138" t="e">
        <f>IF(A163&lt;&gt;"",IF(AND(#REF!="Padrão",$H$4=#REF!),BDI!$B$17,IF(AND(#REF!="Padrão",$H$4=#REF!),BDI!#REF!,IF(AND(#REF!="Diferenciado",$H$4=#REF!),BDI!$E$17,IF(AND(#REF!="Diferenciado",$H$4=#REF!),BDI!#REF!,IF(#REF!="ZERO",0))))),"")</f>
        <v>#REF!</v>
      </c>
      <c r="H163" s="139" t="e">
        <f t="shared" ca="1" si="7"/>
        <v>#REF!</v>
      </c>
      <c r="I163" s="137" t="e">
        <f t="shared" ca="1" si="8"/>
        <v>#REF!</v>
      </c>
    </row>
    <row r="164" spans="1:9" hidden="1" x14ac:dyDescent="0.25">
      <c r="A164" s="114" t="s">
        <v>321</v>
      </c>
      <c r="B164" s="115" t="s">
        <v>1745</v>
      </c>
      <c r="C164" s="116" t="s">
        <v>96</v>
      </c>
      <c r="D164" s="116">
        <v>0</v>
      </c>
      <c r="E164" s="136">
        <f ca="1">OFFSET(INDEX(Composições!A:J,MATCH(Orçamentária!A164,Composições!A:A,0),8),2,0)</f>
        <v>40.535550000000008</v>
      </c>
      <c r="F164" s="137">
        <f t="shared" ca="1" si="6"/>
        <v>0</v>
      </c>
      <c r="G164" s="138" t="e">
        <f>IF(A164&lt;&gt;"",IF(AND(#REF!="Padrão",$H$4=#REF!),BDI!$B$17,IF(AND(#REF!="Padrão",$H$4=#REF!),BDI!#REF!,IF(AND(#REF!="Diferenciado",$H$4=#REF!),BDI!$E$17,IF(AND(#REF!="Diferenciado",$H$4=#REF!),BDI!#REF!,IF(#REF!="ZERO",0))))),"")</f>
        <v>#REF!</v>
      </c>
      <c r="H164" s="139" t="e">
        <f t="shared" ca="1" si="7"/>
        <v>#REF!</v>
      </c>
      <c r="I164" s="137" t="e">
        <f t="shared" ca="1" si="8"/>
        <v>#REF!</v>
      </c>
    </row>
    <row r="165" spans="1:9" hidden="1" x14ac:dyDescent="0.25">
      <c r="A165" s="114" t="s">
        <v>322</v>
      </c>
      <c r="B165" s="115" t="s">
        <v>1746</v>
      </c>
      <c r="C165" s="116" t="s">
        <v>20</v>
      </c>
      <c r="D165" s="116">
        <v>0</v>
      </c>
      <c r="E165" s="136">
        <f ca="1">OFFSET(INDEX(Composições!A:J,MATCH(Orçamentária!A165,Composições!A:A,0),8),2,0)</f>
        <v>20.297700000000003</v>
      </c>
      <c r="F165" s="137">
        <f t="shared" ca="1" si="6"/>
        <v>0</v>
      </c>
      <c r="G165" s="138" t="e">
        <f>IF(A165&lt;&gt;"",IF(AND(#REF!="Padrão",$H$4=#REF!),BDI!$B$17,IF(AND(#REF!="Padrão",$H$4=#REF!),BDI!#REF!,IF(AND(#REF!="Diferenciado",$H$4=#REF!),BDI!$E$17,IF(AND(#REF!="Diferenciado",$H$4=#REF!),BDI!#REF!,IF(#REF!="ZERO",0))))),"")</f>
        <v>#REF!</v>
      </c>
      <c r="H165" s="139" t="e">
        <f t="shared" ca="1" si="7"/>
        <v>#REF!</v>
      </c>
      <c r="I165" s="137" t="e">
        <f t="shared" ca="1" si="8"/>
        <v>#REF!</v>
      </c>
    </row>
    <row r="166" spans="1:9" hidden="1" x14ac:dyDescent="0.25">
      <c r="A166" s="114" t="s">
        <v>325</v>
      </c>
      <c r="B166" s="115" t="s">
        <v>1747</v>
      </c>
      <c r="C166" s="116" t="s">
        <v>94</v>
      </c>
      <c r="D166" s="116">
        <v>0</v>
      </c>
      <c r="E166" s="136">
        <f ca="1">OFFSET(INDEX(Composições!A:J,MATCH(Orçamentária!A166,Composições!A:A,0),8),2,0)</f>
        <v>6.4561876499999995</v>
      </c>
      <c r="F166" s="137">
        <f t="shared" ca="1" si="6"/>
        <v>0</v>
      </c>
      <c r="G166" s="138" t="e">
        <f>IF(A166&lt;&gt;"",IF(AND(#REF!="Padrão",$H$4=#REF!),BDI!$B$17,IF(AND(#REF!="Padrão",$H$4=#REF!),BDI!#REF!,IF(AND(#REF!="Diferenciado",$H$4=#REF!),BDI!$E$17,IF(AND(#REF!="Diferenciado",$H$4=#REF!),BDI!#REF!,IF(#REF!="ZERO",0))))),"")</f>
        <v>#REF!</v>
      </c>
      <c r="H166" s="139" t="e">
        <f t="shared" ca="1" si="7"/>
        <v>#REF!</v>
      </c>
      <c r="I166" s="137" t="e">
        <f t="shared" ca="1" si="8"/>
        <v>#REF!</v>
      </c>
    </row>
    <row r="167" spans="1:9" hidden="1" x14ac:dyDescent="0.25">
      <c r="A167" s="114" t="s">
        <v>1748</v>
      </c>
      <c r="B167" s="115" t="s">
        <v>1749</v>
      </c>
      <c r="C167" s="116" t="s">
        <v>96</v>
      </c>
      <c r="D167" s="116">
        <v>0</v>
      </c>
      <c r="E167" s="136" t="s">
        <v>572</v>
      </c>
      <c r="F167" s="137" t="str">
        <f t="shared" si="6"/>
        <v/>
      </c>
      <c r="G167" s="138" t="e">
        <f>IF(A167&lt;&gt;"",IF(AND(#REF!="Padrão",$H$4=#REF!),BDI!$B$17,IF(AND(#REF!="Padrão",$H$4=#REF!),BDI!#REF!,IF(AND(#REF!="Diferenciado",$H$4=#REF!),BDI!$E$17,IF(AND(#REF!="Diferenciado",$H$4=#REF!),BDI!#REF!,IF(#REF!="ZERO",0))))),"")</f>
        <v>#REF!</v>
      </c>
      <c r="H167" s="139" t="str">
        <f t="shared" si="7"/>
        <v/>
      </c>
      <c r="I167" s="137" t="str">
        <f t="shared" si="8"/>
        <v/>
      </c>
    </row>
    <row r="168" spans="1:9" hidden="1" x14ac:dyDescent="0.25">
      <c r="A168" s="114" t="s">
        <v>1750</v>
      </c>
      <c r="B168" s="115" t="s">
        <v>1751</v>
      </c>
      <c r="C168" s="116" t="s">
        <v>96</v>
      </c>
      <c r="D168" s="116">
        <v>0</v>
      </c>
      <c r="E168" s="136" t="s">
        <v>572</v>
      </c>
      <c r="F168" s="137" t="str">
        <f t="shared" si="6"/>
        <v/>
      </c>
      <c r="G168" s="138" t="e">
        <f>IF(A168&lt;&gt;"",IF(AND(#REF!="Padrão",$H$4=#REF!),BDI!$B$17,IF(AND(#REF!="Padrão",$H$4=#REF!),BDI!#REF!,IF(AND(#REF!="Diferenciado",$H$4=#REF!),BDI!$E$17,IF(AND(#REF!="Diferenciado",$H$4=#REF!),BDI!#REF!,IF(#REF!="ZERO",0))))),"")</f>
        <v>#REF!</v>
      </c>
      <c r="H168" s="139" t="str">
        <f t="shared" si="7"/>
        <v/>
      </c>
      <c r="I168" s="137" t="str">
        <f t="shared" si="8"/>
        <v/>
      </c>
    </row>
    <row r="169" spans="1:9" hidden="1" x14ac:dyDescent="0.25">
      <c r="A169" s="114" t="s">
        <v>1752</v>
      </c>
      <c r="B169" s="115" t="s">
        <v>1753</v>
      </c>
      <c r="C169" s="116" t="s">
        <v>96</v>
      </c>
      <c r="D169" s="116">
        <v>0</v>
      </c>
      <c r="E169" s="136" t="s">
        <v>572</v>
      </c>
      <c r="F169" s="137" t="str">
        <f t="shared" si="6"/>
        <v/>
      </c>
      <c r="G169" s="138" t="e">
        <f>IF(A169&lt;&gt;"",IF(AND(#REF!="Padrão",$H$4=#REF!),BDI!$B$17,IF(AND(#REF!="Padrão",$H$4=#REF!),BDI!#REF!,IF(AND(#REF!="Diferenciado",$H$4=#REF!),BDI!$E$17,IF(AND(#REF!="Diferenciado",$H$4=#REF!),BDI!#REF!,IF(#REF!="ZERO",0))))),"")</f>
        <v>#REF!</v>
      </c>
      <c r="H169" s="139" t="str">
        <f t="shared" si="7"/>
        <v/>
      </c>
      <c r="I169" s="137" t="str">
        <f t="shared" si="8"/>
        <v/>
      </c>
    </row>
    <row r="170" spans="1:9" hidden="1" x14ac:dyDescent="0.25">
      <c r="A170" s="114" t="s">
        <v>1754</v>
      </c>
      <c r="B170" s="115" t="s">
        <v>1755</v>
      </c>
      <c r="C170" s="116" t="s">
        <v>96</v>
      </c>
      <c r="D170" s="116">
        <v>0</v>
      </c>
      <c r="E170" s="136" t="s">
        <v>572</v>
      </c>
      <c r="F170" s="137" t="str">
        <f t="shared" si="6"/>
        <v/>
      </c>
      <c r="G170" s="138" t="e">
        <f>IF(A170&lt;&gt;"",IF(AND(#REF!="Padrão",$H$4=#REF!),BDI!$B$17,IF(AND(#REF!="Padrão",$H$4=#REF!),BDI!#REF!,IF(AND(#REF!="Diferenciado",$H$4=#REF!),BDI!$E$17,IF(AND(#REF!="Diferenciado",$H$4=#REF!),BDI!#REF!,IF(#REF!="ZERO",0))))),"")</f>
        <v>#REF!</v>
      </c>
      <c r="H170" s="139" t="str">
        <f t="shared" si="7"/>
        <v/>
      </c>
      <c r="I170" s="137" t="str">
        <f t="shared" si="8"/>
        <v/>
      </c>
    </row>
    <row r="171" spans="1:9" hidden="1" x14ac:dyDescent="0.25">
      <c r="A171" s="114" t="s">
        <v>326</v>
      </c>
      <c r="B171" s="115" t="s">
        <v>1756</v>
      </c>
      <c r="C171" s="116" t="s">
        <v>20</v>
      </c>
      <c r="D171" s="116">
        <v>0</v>
      </c>
      <c r="E171" s="136">
        <f ca="1">OFFSET(INDEX(Composições!A:J,MATCH(Orçamentária!A171,Composições!A:A,0),8),2,0)</f>
        <v>7.0698999999999996</v>
      </c>
      <c r="F171" s="137">
        <f t="shared" ca="1" si="6"/>
        <v>0</v>
      </c>
      <c r="G171" s="138" t="e">
        <f>IF(A171&lt;&gt;"",IF(AND(#REF!="Padrão",$H$4=#REF!),BDI!$B$17,IF(AND(#REF!="Padrão",$H$4=#REF!),BDI!#REF!,IF(AND(#REF!="Diferenciado",$H$4=#REF!),BDI!$E$17,IF(AND(#REF!="Diferenciado",$H$4=#REF!),BDI!#REF!,IF(#REF!="ZERO",0))))),"")</f>
        <v>#REF!</v>
      </c>
      <c r="H171" s="139" t="e">
        <f t="shared" ca="1" si="7"/>
        <v>#REF!</v>
      </c>
      <c r="I171" s="137" t="e">
        <f t="shared" ca="1" si="8"/>
        <v>#REF!</v>
      </c>
    </row>
    <row r="172" spans="1:9" hidden="1" x14ac:dyDescent="0.25">
      <c r="A172" s="114" t="s">
        <v>329</v>
      </c>
      <c r="B172" s="115" t="s">
        <v>1757</v>
      </c>
      <c r="C172" s="116" t="s">
        <v>94</v>
      </c>
      <c r="D172" s="116">
        <v>0</v>
      </c>
      <c r="E172" s="136">
        <f ca="1">OFFSET(INDEX(Composições!A:J,MATCH(Orçamentária!A172,Composições!A:A,0),8),2,0)</f>
        <v>59.300756549999988</v>
      </c>
      <c r="F172" s="137">
        <f t="shared" ca="1" si="6"/>
        <v>0</v>
      </c>
      <c r="G172" s="138" t="e">
        <f>IF(A172&lt;&gt;"",IF(AND(#REF!="Padrão",$H$4=#REF!),BDI!$B$17,IF(AND(#REF!="Padrão",$H$4=#REF!),BDI!#REF!,IF(AND(#REF!="Diferenciado",$H$4=#REF!),BDI!$E$17,IF(AND(#REF!="Diferenciado",$H$4=#REF!),BDI!#REF!,IF(#REF!="ZERO",0))))),"")</f>
        <v>#REF!</v>
      </c>
      <c r="H172" s="139" t="e">
        <f t="shared" ca="1" si="7"/>
        <v>#REF!</v>
      </c>
      <c r="I172" s="137" t="e">
        <f t="shared" ca="1" si="8"/>
        <v>#REF!</v>
      </c>
    </row>
    <row r="173" spans="1:9" hidden="1" x14ac:dyDescent="0.25">
      <c r="A173" s="114" t="s">
        <v>334</v>
      </c>
      <c r="B173" s="115" t="s">
        <v>1758</v>
      </c>
      <c r="C173" s="116" t="s">
        <v>94</v>
      </c>
      <c r="D173" s="116">
        <v>0</v>
      </c>
      <c r="E173" s="136">
        <f ca="1">OFFSET(INDEX(Composições!A:J,MATCH(Orçamentária!A173,Composições!A:A,0),8),2,0)</f>
        <v>18.3123425</v>
      </c>
      <c r="F173" s="137">
        <f t="shared" ca="1" si="6"/>
        <v>0</v>
      </c>
      <c r="G173" s="138" t="e">
        <f>IF(A173&lt;&gt;"",IF(AND(#REF!="Padrão",$H$4=#REF!),BDI!$B$17,IF(AND(#REF!="Padrão",$H$4=#REF!),BDI!#REF!,IF(AND(#REF!="Diferenciado",$H$4=#REF!),BDI!$E$17,IF(AND(#REF!="Diferenciado",$H$4=#REF!),BDI!#REF!,IF(#REF!="ZERO",0))))),"")</f>
        <v>#REF!</v>
      </c>
      <c r="H173" s="139" t="e">
        <f t="shared" ca="1" si="7"/>
        <v>#REF!</v>
      </c>
      <c r="I173" s="137" t="e">
        <f t="shared" ca="1" si="8"/>
        <v>#REF!</v>
      </c>
    </row>
    <row r="174" spans="1:9" hidden="1" x14ac:dyDescent="0.25">
      <c r="A174" s="114" t="s">
        <v>336</v>
      </c>
      <c r="B174" s="115" t="s">
        <v>1759</v>
      </c>
      <c r="C174" s="116" t="s">
        <v>94</v>
      </c>
      <c r="D174" s="116">
        <v>0</v>
      </c>
      <c r="E174" s="136">
        <f ca="1">OFFSET(INDEX(Composições!A:J,MATCH(Orçamentária!A174,Composições!A:A,0),8),2,0)</f>
        <v>25.212050950000002</v>
      </c>
      <c r="F174" s="137">
        <f t="shared" ca="1" si="6"/>
        <v>0</v>
      </c>
      <c r="G174" s="138" t="e">
        <f>IF(A174&lt;&gt;"",IF(AND(#REF!="Padrão",$H$4=#REF!),BDI!$B$17,IF(AND(#REF!="Padrão",$H$4=#REF!),BDI!#REF!,IF(AND(#REF!="Diferenciado",$H$4=#REF!),BDI!$E$17,IF(AND(#REF!="Diferenciado",$H$4=#REF!),BDI!#REF!,IF(#REF!="ZERO",0))))),"")</f>
        <v>#REF!</v>
      </c>
      <c r="H174" s="139" t="e">
        <f t="shared" ca="1" si="7"/>
        <v>#REF!</v>
      </c>
      <c r="I174" s="137" t="e">
        <f t="shared" ca="1" si="8"/>
        <v>#REF!</v>
      </c>
    </row>
    <row r="175" spans="1:9" hidden="1" x14ac:dyDescent="0.25">
      <c r="A175" s="114" t="s">
        <v>338</v>
      </c>
      <c r="B175" s="115" t="s">
        <v>1760</v>
      </c>
      <c r="C175" s="116" t="s">
        <v>94</v>
      </c>
      <c r="D175" s="116">
        <v>0</v>
      </c>
      <c r="E175" s="136">
        <f ca="1">OFFSET(INDEX(Composições!A:J,MATCH(Orçamentária!A175,Composições!A:A,0),8),2,0)</f>
        <v>37.348534650000005</v>
      </c>
      <c r="F175" s="137">
        <f t="shared" ca="1" si="6"/>
        <v>0</v>
      </c>
      <c r="G175" s="138" t="e">
        <f>IF(A175&lt;&gt;"",IF(AND(#REF!="Padrão",$H$4=#REF!),BDI!$B$17,IF(AND(#REF!="Padrão",$H$4=#REF!),BDI!#REF!,IF(AND(#REF!="Diferenciado",$H$4=#REF!),BDI!$E$17,IF(AND(#REF!="Diferenciado",$H$4=#REF!),BDI!#REF!,IF(#REF!="ZERO",0))))),"")</f>
        <v>#REF!</v>
      </c>
      <c r="H175" s="139" t="e">
        <f t="shared" ca="1" si="7"/>
        <v>#REF!</v>
      </c>
      <c r="I175" s="137" t="e">
        <f t="shared" ca="1" si="8"/>
        <v>#REF!</v>
      </c>
    </row>
    <row r="176" spans="1:9" hidden="1" x14ac:dyDescent="0.25">
      <c r="A176" s="114" t="s">
        <v>340</v>
      </c>
      <c r="B176" s="115" t="s">
        <v>1761</v>
      </c>
      <c r="C176" s="116" t="s">
        <v>94</v>
      </c>
      <c r="D176" s="116">
        <v>0</v>
      </c>
      <c r="E176" s="136">
        <f ca="1">OFFSET(INDEX(Composições!A:J,MATCH(Orçamentária!A176,Composições!A:A,0),8),2,0)</f>
        <v>4.6984054999999989</v>
      </c>
      <c r="F176" s="137">
        <f t="shared" ca="1" si="6"/>
        <v>0</v>
      </c>
      <c r="G176" s="138" t="e">
        <f>IF(A176&lt;&gt;"",IF(AND(#REF!="Padrão",$H$4=#REF!),BDI!$B$17,IF(AND(#REF!="Padrão",$H$4=#REF!),BDI!#REF!,IF(AND(#REF!="Diferenciado",$H$4=#REF!),BDI!$E$17,IF(AND(#REF!="Diferenciado",$H$4=#REF!),BDI!#REF!,IF(#REF!="ZERO",0))))),"")</f>
        <v>#REF!</v>
      </c>
      <c r="H176" s="139" t="e">
        <f t="shared" ca="1" si="7"/>
        <v>#REF!</v>
      </c>
      <c r="I176" s="137" t="e">
        <f t="shared" ca="1" si="8"/>
        <v>#REF!</v>
      </c>
    </row>
    <row r="177" spans="1:9" hidden="1" x14ac:dyDescent="0.25">
      <c r="A177" s="114" t="s">
        <v>342</v>
      </c>
      <c r="B177" s="115" t="s">
        <v>1762</v>
      </c>
      <c r="C177" s="116" t="s">
        <v>94</v>
      </c>
      <c r="D177" s="116">
        <v>0</v>
      </c>
      <c r="E177" s="136">
        <f ca="1">OFFSET(INDEX(Composições!A:J,MATCH(Orçamentária!A177,Composições!A:A,0),8),2,0)</f>
        <v>9.9325254999999988</v>
      </c>
      <c r="F177" s="137">
        <f t="shared" ca="1" si="6"/>
        <v>0</v>
      </c>
      <c r="G177" s="138" t="e">
        <f>IF(A177&lt;&gt;"",IF(AND(#REF!="Padrão",$H$4=#REF!),BDI!$B$17,IF(AND(#REF!="Padrão",$H$4=#REF!),BDI!#REF!,IF(AND(#REF!="Diferenciado",$H$4=#REF!),BDI!$E$17,IF(AND(#REF!="Diferenciado",$H$4=#REF!),BDI!#REF!,IF(#REF!="ZERO",0))))),"")</f>
        <v>#REF!</v>
      </c>
      <c r="H177" s="139" t="e">
        <f t="shared" ca="1" si="7"/>
        <v>#REF!</v>
      </c>
      <c r="I177" s="137" t="e">
        <f t="shared" ca="1" si="8"/>
        <v>#REF!</v>
      </c>
    </row>
    <row r="178" spans="1:9" hidden="1" x14ac:dyDescent="0.25">
      <c r="A178" s="114" t="s">
        <v>344</v>
      </c>
      <c r="B178" s="115" t="s">
        <v>1763</v>
      </c>
      <c r="C178" s="116" t="s">
        <v>94</v>
      </c>
      <c r="D178" s="116">
        <v>0</v>
      </c>
      <c r="E178" s="136">
        <f ca="1">OFFSET(INDEX(Composições!A:J,MATCH(Orçamentária!A178,Composições!A:A,0),8),2,0)</f>
        <v>14.28515</v>
      </c>
      <c r="F178" s="137">
        <f t="shared" ca="1" si="6"/>
        <v>0</v>
      </c>
      <c r="G178" s="138" t="e">
        <f>IF(A178&lt;&gt;"",IF(AND(#REF!="Padrão",$H$4=#REF!),BDI!$B$17,IF(AND(#REF!="Padrão",$H$4=#REF!),BDI!#REF!,IF(AND(#REF!="Diferenciado",$H$4=#REF!),BDI!$E$17,IF(AND(#REF!="Diferenciado",$H$4=#REF!),BDI!#REF!,IF(#REF!="ZERO",0))))),"")</f>
        <v>#REF!</v>
      </c>
      <c r="H178" s="139" t="e">
        <f t="shared" ca="1" si="7"/>
        <v>#REF!</v>
      </c>
      <c r="I178" s="137" t="e">
        <f t="shared" ca="1" si="8"/>
        <v>#REF!</v>
      </c>
    </row>
    <row r="179" spans="1:9" hidden="1" x14ac:dyDescent="0.25">
      <c r="A179" s="114" t="s">
        <v>346</v>
      </c>
      <c r="B179" s="115" t="s">
        <v>1764</v>
      </c>
      <c r="C179" s="116" t="s">
        <v>94</v>
      </c>
      <c r="D179" s="116">
        <v>0</v>
      </c>
      <c r="E179" s="136">
        <f ca="1">OFFSET(INDEX(Composições!A:J,MATCH(Orçamentária!A179,Composições!A:A,0),8),2,0)</f>
        <v>16.426953499999996</v>
      </c>
      <c r="F179" s="137">
        <f t="shared" ca="1" si="6"/>
        <v>0</v>
      </c>
      <c r="G179" s="138" t="e">
        <f>IF(A179&lt;&gt;"",IF(AND(#REF!="Padrão",$H$4=#REF!),BDI!$B$17,IF(AND(#REF!="Padrão",$H$4=#REF!),BDI!#REF!,IF(AND(#REF!="Diferenciado",$H$4=#REF!),BDI!$E$17,IF(AND(#REF!="Diferenciado",$H$4=#REF!),BDI!#REF!,IF(#REF!="ZERO",0))))),"")</f>
        <v>#REF!</v>
      </c>
      <c r="H179" s="139" t="e">
        <f t="shared" ca="1" si="7"/>
        <v>#REF!</v>
      </c>
      <c r="I179" s="137" t="e">
        <f t="shared" ca="1" si="8"/>
        <v>#REF!</v>
      </c>
    </row>
    <row r="180" spans="1:9" hidden="1" x14ac:dyDescent="0.25">
      <c r="A180" s="114" t="s">
        <v>348</v>
      </c>
      <c r="B180" s="115" t="s">
        <v>1765</v>
      </c>
      <c r="C180" s="116" t="s">
        <v>20</v>
      </c>
      <c r="D180" s="116">
        <v>0</v>
      </c>
      <c r="E180" s="136">
        <f ca="1">OFFSET(INDEX(Composições!A:J,MATCH(Orçamentária!A180,Composições!A:A,0),8),2,0)</f>
        <v>10.549123000000002</v>
      </c>
      <c r="F180" s="137">
        <f t="shared" ca="1" si="6"/>
        <v>0</v>
      </c>
      <c r="G180" s="138" t="e">
        <f>IF(A180&lt;&gt;"",IF(AND(#REF!="Padrão",$H$4=#REF!),BDI!$B$17,IF(AND(#REF!="Padrão",$H$4=#REF!),BDI!#REF!,IF(AND(#REF!="Diferenciado",$H$4=#REF!),BDI!$E$17,IF(AND(#REF!="Diferenciado",$H$4=#REF!),BDI!#REF!,IF(#REF!="ZERO",0))))),"")</f>
        <v>#REF!</v>
      </c>
      <c r="H180" s="139" t="e">
        <f t="shared" ca="1" si="7"/>
        <v>#REF!</v>
      </c>
      <c r="I180" s="137" t="e">
        <f t="shared" ca="1" si="8"/>
        <v>#REF!</v>
      </c>
    </row>
    <row r="181" spans="1:9" hidden="1" x14ac:dyDescent="0.25">
      <c r="A181" s="114" t="s">
        <v>351</v>
      </c>
      <c r="B181" s="115" t="s">
        <v>1766</v>
      </c>
      <c r="C181" s="116" t="s">
        <v>20</v>
      </c>
      <c r="D181" s="116">
        <v>0</v>
      </c>
      <c r="E181" s="136">
        <f ca="1">OFFSET(INDEX(Composições!A:J,MATCH(Orçamentária!A181,Composições!A:A,0),8),2,0)</f>
        <v>75.139943149999993</v>
      </c>
      <c r="F181" s="137">
        <f t="shared" ca="1" si="6"/>
        <v>0</v>
      </c>
      <c r="G181" s="138" t="e">
        <f>IF(A181&lt;&gt;"",IF(AND(#REF!="Padrão",$H$4=#REF!),BDI!$B$17,IF(AND(#REF!="Padrão",$H$4=#REF!),BDI!#REF!,IF(AND(#REF!="Diferenciado",$H$4=#REF!),BDI!$E$17,IF(AND(#REF!="Diferenciado",$H$4=#REF!),BDI!#REF!,IF(#REF!="ZERO",0))))),"")</f>
        <v>#REF!</v>
      </c>
      <c r="H181" s="139" t="e">
        <f t="shared" ca="1" si="7"/>
        <v>#REF!</v>
      </c>
      <c r="I181" s="137" t="e">
        <f t="shared" ca="1" si="8"/>
        <v>#REF!</v>
      </c>
    </row>
    <row r="182" spans="1:9" hidden="1" x14ac:dyDescent="0.25">
      <c r="A182" s="114" t="s">
        <v>355</v>
      </c>
      <c r="B182" s="115" t="s">
        <v>1767</v>
      </c>
      <c r="C182" s="116" t="s">
        <v>20</v>
      </c>
      <c r="D182" s="116">
        <v>0</v>
      </c>
      <c r="E182" s="136">
        <f ca="1">OFFSET(INDEX(Composições!A:J,MATCH(Orçamentária!A182,Composições!A:A,0),8),2,0)</f>
        <v>133.69794315000001</v>
      </c>
      <c r="F182" s="137">
        <f t="shared" ca="1" si="6"/>
        <v>0</v>
      </c>
      <c r="G182" s="138" t="e">
        <f>IF(A182&lt;&gt;"",IF(AND(#REF!="Padrão",$H$4=#REF!),BDI!$B$17,IF(AND(#REF!="Padrão",$H$4=#REF!),BDI!#REF!,IF(AND(#REF!="Diferenciado",$H$4=#REF!),BDI!$E$17,IF(AND(#REF!="Diferenciado",$H$4=#REF!),BDI!#REF!,IF(#REF!="ZERO",0))))),"")</f>
        <v>#REF!</v>
      </c>
      <c r="H182" s="139" t="e">
        <f t="shared" ca="1" si="7"/>
        <v>#REF!</v>
      </c>
      <c r="I182" s="137" t="e">
        <f t="shared" ca="1" si="8"/>
        <v>#REF!</v>
      </c>
    </row>
    <row r="183" spans="1:9" hidden="1" x14ac:dyDescent="0.25">
      <c r="A183" s="114" t="s">
        <v>357</v>
      </c>
      <c r="B183" s="115" t="s">
        <v>1768</v>
      </c>
      <c r="C183" s="116" t="s">
        <v>20</v>
      </c>
      <c r="D183" s="116">
        <v>0</v>
      </c>
      <c r="E183" s="136">
        <f ca="1">OFFSET(INDEX(Composições!A:J,MATCH(Orçamentária!A183,Composições!A:A,0),8),2,0)</f>
        <v>2.4467250000000003</v>
      </c>
      <c r="F183" s="137">
        <f t="shared" ca="1" si="6"/>
        <v>0</v>
      </c>
      <c r="G183" s="138" t="e">
        <f>IF(A183&lt;&gt;"",IF(AND(#REF!="Padrão",$H$4=#REF!),BDI!$B$17,IF(AND(#REF!="Padrão",$H$4=#REF!),BDI!#REF!,IF(AND(#REF!="Diferenciado",$H$4=#REF!),BDI!$E$17,IF(AND(#REF!="Diferenciado",$H$4=#REF!),BDI!#REF!,IF(#REF!="ZERO",0))))),"")</f>
        <v>#REF!</v>
      </c>
      <c r="H183" s="139" t="e">
        <f t="shared" ca="1" si="7"/>
        <v>#REF!</v>
      </c>
      <c r="I183" s="137" t="e">
        <f t="shared" ca="1" si="8"/>
        <v>#REF!</v>
      </c>
    </row>
    <row r="184" spans="1:9" hidden="1" x14ac:dyDescent="0.25">
      <c r="A184" s="114" t="s">
        <v>359</v>
      </c>
      <c r="B184" s="115" t="s">
        <v>1769</v>
      </c>
      <c r="C184" s="116" t="s">
        <v>20</v>
      </c>
      <c r="D184" s="116">
        <v>0</v>
      </c>
      <c r="E184" s="136">
        <f ca="1">OFFSET(INDEX(Composições!A:J,MATCH(Orçamentária!A184,Composições!A:A,0),8),2,0)</f>
        <v>2.4467250000000003</v>
      </c>
      <c r="F184" s="137">
        <f t="shared" ca="1" si="6"/>
        <v>0</v>
      </c>
      <c r="G184" s="138" t="e">
        <f>IF(A184&lt;&gt;"",IF(AND(#REF!="Padrão",$H$4=#REF!),BDI!$B$17,IF(AND(#REF!="Padrão",$H$4=#REF!),BDI!#REF!,IF(AND(#REF!="Diferenciado",$H$4=#REF!),BDI!$E$17,IF(AND(#REF!="Diferenciado",$H$4=#REF!),BDI!#REF!,IF(#REF!="ZERO",0))))),"")</f>
        <v>#REF!</v>
      </c>
      <c r="H184" s="139" t="e">
        <f t="shared" ca="1" si="7"/>
        <v>#REF!</v>
      </c>
      <c r="I184" s="137" t="e">
        <f t="shared" ca="1" si="8"/>
        <v>#REF!</v>
      </c>
    </row>
    <row r="185" spans="1:9" hidden="1" x14ac:dyDescent="0.25">
      <c r="A185" s="114" t="s">
        <v>361</v>
      </c>
      <c r="B185" s="115" t="s">
        <v>1770</v>
      </c>
      <c r="C185" s="116" t="s">
        <v>20</v>
      </c>
      <c r="D185" s="116">
        <v>0</v>
      </c>
      <c r="E185" s="136">
        <f ca="1">OFFSET(INDEX(Composições!A:J,MATCH(Orçamentária!A185,Composições!A:A,0),8),2,0)</f>
        <v>12.292882199999999</v>
      </c>
      <c r="F185" s="137">
        <f t="shared" ca="1" si="6"/>
        <v>0</v>
      </c>
      <c r="G185" s="138" t="e">
        <f>IF(A185&lt;&gt;"",IF(AND(#REF!="Padrão",$H$4=#REF!),BDI!$B$17,IF(AND(#REF!="Padrão",$H$4=#REF!),BDI!#REF!,IF(AND(#REF!="Diferenciado",$H$4=#REF!),BDI!$E$17,IF(AND(#REF!="Diferenciado",$H$4=#REF!),BDI!#REF!,IF(#REF!="ZERO",0))))),"")</f>
        <v>#REF!</v>
      </c>
      <c r="H185" s="139" t="e">
        <f t="shared" ca="1" si="7"/>
        <v>#REF!</v>
      </c>
      <c r="I185" s="137" t="e">
        <f t="shared" ca="1" si="8"/>
        <v>#REF!</v>
      </c>
    </row>
    <row r="186" spans="1:9" hidden="1" x14ac:dyDescent="0.25">
      <c r="A186" s="114" t="s">
        <v>363</v>
      </c>
      <c r="B186" s="115" t="s">
        <v>1771</v>
      </c>
      <c r="C186" s="116" t="s">
        <v>20</v>
      </c>
      <c r="D186" s="116">
        <v>0</v>
      </c>
      <c r="E186" s="136">
        <f ca="1">OFFSET(INDEX(Composições!A:J,MATCH(Orçamentária!A186,Composições!A:A,0),8),2,0)</f>
        <v>1.6311500000000003</v>
      </c>
      <c r="F186" s="137">
        <f t="shared" ca="1" si="6"/>
        <v>0</v>
      </c>
      <c r="G186" s="138" t="e">
        <f>IF(A186&lt;&gt;"",IF(AND(#REF!="Padrão",$H$4=#REF!),BDI!$B$17,IF(AND(#REF!="Padrão",$H$4=#REF!),BDI!#REF!,IF(AND(#REF!="Diferenciado",$H$4=#REF!),BDI!$E$17,IF(AND(#REF!="Diferenciado",$H$4=#REF!),BDI!#REF!,IF(#REF!="ZERO",0))))),"")</f>
        <v>#REF!</v>
      </c>
      <c r="H186" s="139" t="e">
        <f t="shared" ca="1" si="7"/>
        <v>#REF!</v>
      </c>
      <c r="I186" s="137" t="e">
        <f t="shared" ca="1" si="8"/>
        <v>#REF!</v>
      </c>
    </row>
    <row r="187" spans="1:9" hidden="1" x14ac:dyDescent="0.25">
      <c r="A187" s="114" t="s">
        <v>365</v>
      </c>
      <c r="B187" s="115" t="s">
        <v>1772</v>
      </c>
      <c r="C187" s="116" t="s">
        <v>20</v>
      </c>
      <c r="D187" s="116">
        <v>0</v>
      </c>
      <c r="E187" s="136">
        <f ca="1">OFFSET(INDEX(Composições!A:J,MATCH(Orçamentária!A187,Composições!A:A,0),8),2,0)</f>
        <v>178.74422519999996</v>
      </c>
      <c r="F187" s="137">
        <f t="shared" ca="1" si="6"/>
        <v>0</v>
      </c>
      <c r="G187" s="138" t="e">
        <f>IF(A187&lt;&gt;"",IF(AND(#REF!="Padrão",$H$4=#REF!),BDI!$B$17,IF(AND(#REF!="Padrão",$H$4=#REF!),BDI!#REF!,IF(AND(#REF!="Diferenciado",$H$4=#REF!),BDI!$E$17,IF(AND(#REF!="Diferenciado",$H$4=#REF!),BDI!#REF!,IF(#REF!="ZERO",0))))),"")</f>
        <v>#REF!</v>
      </c>
      <c r="H187" s="139" t="e">
        <f t="shared" ca="1" si="7"/>
        <v>#REF!</v>
      </c>
      <c r="I187" s="137" t="e">
        <f t="shared" ca="1" si="8"/>
        <v>#REF!</v>
      </c>
    </row>
    <row r="188" spans="1:9" hidden="1" x14ac:dyDescent="0.25">
      <c r="A188" s="114" t="s">
        <v>368</v>
      </c>
      <c r="B188" s="115" t="s">
        <v>1773</v>
      </c>
      <c r="C188" s="116" t="s">
        <v>20</v>
      </c>
      <c r="D188" s="116">
        <v>0</v>
      </c>
      <c r="E188" s="136">
        <f ca="1">OFFSET(INDEX(Composições!A:J,MATCH(Orçamentária!A188,Composições!A:A,0),8),2,0)</f>
        <v>45.791725199999988</v>
      </c>
      <c r="F188" s="137">
        <f t="shared" ca="1" si="6"/>
        <v>0</v>
      </c>
      <c r="G188" s="138" t="e">
        <f>IF(A188&lt;&gt;"",IF(AND(#REF!="Padrão",$H$4=#REF!),BDI!$B$17,IF(AND(#REF!="Padrão",$H$4=#REF!),BDI!#REF!,IF(AND(#REF!="Diferenciado",$H$4=#REF!),BDI!$E$17,IF(AND(#REF!="Diferenciado",$H$4=#REF!),BDI!#REF!,IF(#REF!="ZERO",0))))),"")</f>
        <v>#REF!</v>
      </c>
      <c r="H188" s="139" t="e">
        <f t="shared" ca="1" si="7"/>
        <v>#REF!</v>
      </c>
      <c r="I188" s="137" t="e">
        <f t="shared" ca="1" si="8"/>
        <v>#REF!</v>
      </c>
    </row>
    <row r="189" spans="1:9" hidden="1" x14ac:dyDescent="0.25">
      <c r="A189" s="114" t="s">
        <v>370</v>
      </c>
      <c r="B189" s="115" t="s">
        <v>1774</v>
      </c>
      <c r="C189" s="116" t="s">
        <v>20</v>
      </c>
      <c r="D189" s="116">
        <v>0</v>
      </c>
      <c r="E189" s="136">
        <f ca="1">OFFSET(INDEX(Composições!A:J,MATCH(Orçamentária!A189,Composições!A:A,0),8),2,0)</f>
        <v>33.993000699999996</v>
      </c>
      <c r="F189" s="137">
        <f t="shared" ca="1" si="6"/>
        <v>0</v>
      </c>
      <c r="G189" s="138" t="e">
        <f>IF(A189&lt;&gt;"",IF(AND(#REF!="Padrão",$H$4=#REF!),BDI!$B$17,IF(AND(#REF!="Padrão",$H$4=#REF!),BDI!#REF!,IF(AND(#REF!="Diferenciado",$H$4=#REF!),BDI!$E$17,IF(AND(#REF!="Diferenciado",$H$4=#REF!),BDI!#REF!,IF(#REF!="ZERO",0))))),"")</f>
        <v>#REF!</v>
      </c>
      <c r="H189" s="139" t="e">
        <f t="shared" ca="1" si="7"/>
        <v>#REF!</v>
      </c>
      <c r="I189" s="137" t="e">
        <f t="shared" ca="1" si="8"/>
        <v>#REF!</v>
      </c>
    </row>
    <row r="190" spans="1:9" hidden="1" x14ac:dyDescent="0.25">
      <c r="A190" s="114" t="s">
        <v>373</v>
      </c>
      <c r="B190" s="115" t="s">
        <v>1775</v>
      </c>
      <c r="C190" s="116" t="s">
        <v>20</v>
      </c>
      <c r="D190" s="116">
        <v>0</v>
      </c>
      <c r="E190" s="136">
        <f ca="1">OFFSET(INDEX(Composições!A:J,MATCH(Orçamentária!A190,Composições!A:A,0),8),2,0)</f>
        <v>19.183463999999997</v>
      </c>
      <c r="F190" s="137">
        <f t="shared" ca="1" si="6"/>
        <v>0</v>
      </c>
      <c r="G190" s="138" t="e">
        <f>IF(A190&lt;&gt;"",IF(AND(#REF!="Padrão",$H$4=#REF!),BDI!$B$17,IF(AND(#REF!="Padrão",$H$4=#REF!),BDI!#REF!,IF(AND(#REF!="Diferenciado",$H$4=#REF!),BDI!$E$17,IF(AND(#REF!="Diferenciado",$H$4=#REF!),BDI!#REF!,IF(#REF!="ZERO",0))))),"")</f>
        <v>#REF!</v>
      </c>
      <c r="H190" s="139" t="e">
        <f t="shared" ca="1" si="7"/>
        <v>#REF!</v>
      </c>
      <c r="I190" s="137" t="e">
        <f t="shared" ca="1" si="8"/>
        <v>#REF!</v>
      </c>
    </row>
    <row r="191" spans="1:9" hidden="1" x14ac:dyDescent="0.25">
      <c r="A191" s="114" t="s">
        <v>375</v>
      </c>
      <c r="B191" s="115" t="s">
        <v>1776</v>
      </c>
      <c r="C191" s="116" t="s">
        <v>20</v>
      </c>
      <c r="D191" s="116">
        <v>0</v>
      </c>
      <c r="E191" s="136">
        <f ca="1">OFFSET(INDEX(Composições!A:J,MATCH(Orçamentária!A191,Composições!A:A,0),8),2,0)</f>
        <v>33.993000699999996</v>
      </c>
      <c r="F191" s="137">
        <f t="shared" ca="1" si="6"/>
        <v>0</v>
      </c>
      <c r="G191" s="138" t="e">
        <f>IF(A191&lt;&gt;"",IF(AND(#REF!="Padrão",$H$4=#REF!),BDI!$B$17,IF(AND(#REF!="Padrão",$H$4=#REF!),BDI!#REF!,IF(AND(#REF!="Diferenciado",$H$4=#REF!),BDI!$E$17,IF(AND(#REF!="Diferenciado",$H$4=#REF!),BDI!#REF!,IF(#REF!="ZERO",0))))),"")</f>
        <v>#REF!</v>
      </c>
      <c r="H191" s="139" t="e">
        <f t="shared" ca="1" si="7"/>
        <v>#REF!</v>
      </c>
      <c r="I191" s="137" t="e">
        <f t="shared" ca="1" si="8"/>
        <v>#REF!</v>
      </c>
    </row>
    <row r="192" spans="1:9" hidden="1" x14ac:dyDescent="0.25">
      <c r="A192" s="114" t="s">
        <v>377</v>
      </c>
      <c r="B192" s="115" t="s">
        <v>1777</v>
      </c>
      <c r="C192" s="116" t="s">
        <v>20</v>
      </c>
      <c r="D192" s="116">
        <v>0</v>
      </c>
      <c r="E192" s="136">
        <f ca="1">OFFSET(INDEX(Composições!A:J,MATCH(Orçamentária!A192,Composições!A:A,0),8),2,0)</f>
        <v>29.296234899999998</v>
      </c>
      <c r="F192" s="137">
        <f t="shared" ca="1" si="6"/>
        <v>0</v>
      </c>
      <c r="G192" s="138" t="e">
        <f>IF(A192&lt;&gt;"",IF(AND(#REF!="Padrão",$H$4=#REF!),BDI!$B$17,IF(AND(#REF!="Padrão",$H$4=#REF!),BDI!#REF!,IF(AND(#REF!="Diferenciado",$H$4=#REF!),BDI!$E$17,IF(AND(#REF!="Diferenciado",$H$4=#REF!),BDI!#REF!,IF(#REF!="ZERO",0))))),"")</f>
        <v>#REF!</v>
      </c>
      <c r="H192" s="139" t="e">
        <f t="shared" ca="1" si="7"/>
        <v>#REF!</v>
      </c>
      <c r="I192" s="137" t="e">
        <f t="shared" ca="1" si="8"/>
        <v>#REF!</v>
      </c>
    </row>
    <row r="193" spans="1:9" hidden="1" x14ac:dyDescent="0.25">
      <c r="A193" s="114" t="s">
        <v>379</v>
      </c>
      <c r="B193" s="115" t="s">
        <v>1778</v>
      </c>
      <c r="C193" s="116" t="s">
        <v>20</v>
      </c>
      <c r="D193" s="116">
        <v>0</v>
      </c>
      <c r="E193" s="136">
        <f ca="1">OFFSET(INDEX(Composições!A:J,MATCH(Orçamentária!A193,Composições!A:A,0),8),2,0)</f>
        <v>29.882060000000003</v>
      </c>
      <c r="F193" s="137">
        <f t="shared" ca="1" si="6"/>
        <v>0</v>
      </c>
      <c r="G193" s="138" t="e">
        <f>IF(A193&lt;&gt;"",IF(AND(#REF!="Padrão",$H$4=#REF!),BDI!$B$17,IF(AND(#REF!="Padrão",$H$4=#REF!),BDI!#REF!,IF(AND(#REF!="Diferenciado",$H$4=#REF!),BDI!$E$17,IF(AND(#REF!="Diferenciado",$H$4=#REF!),BDI!#REF!,IF(#REF!="ZERO",0))))),"")</f>
        <v>#REF!</v>
      </c>
      <c r="H193" s="139" t="e">
        <f t="shared" ca="1" si="7"/>
        <v>#REF!</v>
      </c>
      <c r="I193" s="137" t="e">
        <f t="shared" ca="1" si="8"/>
        <v>#REF!</v>
      </c>
    </row>
    <row r="194" spans="1:9" hidden="1" x14ac:dyDescent="0.25">
      <c r="A194" s="114" t="s">
        <v>382</v>
      </c>
      <c r="B194" s="115" t="s">
        <v>1779</v>
      </c>
      <c r="C194" s="116" t="s">
        <v>20</v>
      </c>
      <c r="D194" s="116">
        <v>0</v>
      </c>
      <c r="E194" s="136">
        <f ca="1">OFFSET(INDEX(Composições!A:J,MATCH(Orçamentária!A194,Composições!A:A,0),8),2,0)</f>
        <v>45.752805599999988</v>
      </c>
      <c r="F194" s="137">
        <f t="shared" ca="1" si="6"/>
        <v>0</v>
      </c>
      <c r="G194" s="138" t="e">
        <f>IF(A194&lt;&gt;"",IF(AND(#REF!="Padrão",$H$4=#REF!),BDI!$B$17,IF(AND(#REF!="Padrão",$H$4=#REF!),BDI!#REF!,IF(AND(#REF!="Diferenciado",$H$4=#REF!),BDI!$E$17,IF(AND(#REF!="Diferenciado",$H$4=#REF!),BDI!#REF!,IF(#REF!="ZERO",0))))),"")</f>
        <v>#REF!</v>
      </c>
      <c r="H194" s="139" t="e">
        <f t="shared" ca="1" si="7"/>
        <v>#REF!</v>
      </c>
      <c r="I194" s="137" t="e">
        <f t="shared" ca="1" si="8"/>
        <v>#REF!</v>
      </c>
    </row>
    <row r="195" spans="1:9" hidden="1" x14ac:dyDescent="0.25">
      <c r="A195" s="114" t="s">
        <v>383</v>
      </c>
      <c r="B195" s="115" t="s">
        <v>1780</v>
      </c>
      <c r="C195" s="116" t="s">
        <v>20</v>
      </c>
      <c r="D195" s="116">
        <v>0</v>
      </c>
      <c r="E195" s="136">
        <f ca="1">OFFSET(INDEX(Composições!A:J,MATCH(Orçamentária!A195,Composições!A:A,0),8),2,0)</f>
        <v>116.0597349</v>
      </c>
      <c r="F195" s="137">
        <f t="shared" ca="1" si="6"/>
        <v>0</v>
      </c>
      <c r="G195" s="138" t="e">
        <f>IF(A195&lt;&gt;"",IF(AND(#REF!="Padrão",$H$4=#REF!),BDI!$B$17,IF(AND(#REF!="Padrão",$H$4=#REF!),BDI!#REF!,IF(AND(#REF!="Diferenciado",$H$4=#REF!),BDI!$E$17,IF(AND(#REF!="Diferenciado",$H$4=#REF!),BDI!#REF!,IF(#REF!="ZERO",0))))),"")</f>
        <v>#REF!</v>
      </c>
      <c r="H195" s="139" t="e">
        <f t="shared" ca="1" si="7"/>
        <v>#REF!</v>
      </c>
      <c r="I195" s="137" t="e">
        <f t="shared" ca="1" si="8"/>
        <v>#REF!</v>
      </c>
    </row>
    <row r="196" spans="1:9" hidden="1" x14ac:dyDescent="0.25">
      <c r="A196" s="114" t="s">
        <v>385</v>
      </c>
      <c r="B196" s="115" t="s">
        <v>1781</v>
      </c>
      <c r="C196" s="116" t="s">
        <v>20</v>
      </c>
      <c r="D196" s="116">
        <v>0</v>
      </c>
      <c r="E196" s="136">
        <f ca="1">OFFSET(INDEX(Composições!A:J,MATCH(Orçamentária!A196,Composições!A:A,0),8),2,0)</f>
        <v>332.16740500000003</v>
      </c>
      <c r="F196" s="137">
        <f t="shared" ca="1" si="6"/>
        <v>0</v>
      </c>
      <c r="G196" s="138" t="e">
        <f>IF(A196&lt;&gt;"",IF(AND(#REF!="Padrão",$H$4=#REF!),BDI!$B$17,IF(AND(#REF!="Padrão",$H$4=#REF!),BDI!#REF!,IF(AND(#REF!="Diferenciado",$H$4=#REF!),BDI!$E$17,IF(AND(#REF!="Diferenciado",$H$4=#REF!),BDI!#REF!,IF(#REF!="ZERO",0))))),"")</f>
        <v>#REF!</v>
      </c>
      <c r="H196" s="139" t="e">
        <f t="shared" ca="1" si="7"/>
        <v>#REF!</v>
      </c>
      <c r="I196" s="137" t="e">
        <f t="shared" ca="1" si="8"/>
        <v>#REF!</v>
      </c>
    </row>
    <row r="197" spans="1:9" hidden="1" x14ac:dyDescent="0.25">
      <c r="A197" s="114" t="s">
        <v>387</v>
      </c>
      <c r="B197" s="115" t="s">
        <v>1782</v>
      </c>
      <c r="C197" s="116" t="s">
        <v>20</v>
      </c>
      <c r="D197" s="116">
        <v>0</v>
      </c>
      <c r="E197" s="136">
        <f ca="1">OFFSET(INDEX(Composições!A:J,MATCH(Orçamentária!A197,Composições!A:A,0),8),2,0)</f>
        <v>57.959032600000008</v>
      </c>
      <c r="F197" s="137">
        <f t="shared" ca="1" si="6"/>
        <v>0</v>
      </c>
      <c r="G197" s="138" t="e">
        <f>IF(A197&lt;&gt;"",IF(AND(#REF!="Padrão",$H$4=#REF!),BDI!$B$17,IF(AND(#REF!="Padrão",$H$4=#REF!),BDI!#REF!,IF(AND(#REF!="Diferenciado",$H$4=#REF!),BDI!$E$17,IF(AND(#REF!="Diferenciado",$H$4=#REF!),BDI!#REF!,IF(#REF!="ZERO",0))))),"")</f>
        <v>#REF!</v>
      </c>
      <c r="H197" s="139" t="e">
        <f t="shared" ca="1" si="7"/>
        <v>#REF!</v>
      </c>
      <c r="I197" s="137" t="e">
        <f t="shared" ca="1" si="8"/>
        <v>#REF!</v>
      </c>
    </row>
    <row r="198" spans="1:9" hidden="1" x14ac:dyDescent="0.25">
      <c r="A198" s="114" t="s">
        <v>389</v>
      </c>
      <c r="B198" s="115" t="s">
        <v>1783</v>
      </c>
      <c r="C198" s="116" t="s">
        <v>20</v>
      </c>
      <c r="D198" s="116">
        <v>0</v>
      </c>
      <c r="E198" s="136">
        <f ca="1">OFFSET(INDEX(Composições!A:J,MATCH(Orçamentária!A198,Composições!A:A,0),8),2,0)</f>
        <v>1.72976</v>
      </c>
      <c r="F198" s="137">
        <f t="shared" ca="1" si="6"/>
        <v>0</v>
      </c>
      <c r="G198" s="138" t="e">
        <f>IF(A198&lt;&gt;"",IF(AND(#REF!="Padrão",$H$4=#REF!),BDI!$B$17,IF(AND(#REF!="Padrão",$H$4=#REF!),BDI!#REF!,IF(AND(#REF!="Diferenciado",$H$4=#REF!),BDI!$E$17,IF(AND(#REF!="Diferenciado",$H$4=#REF!),BDI!#REF!,IF(#REF!="ZERO",0))))),"")</f>
        <v>#REF!</v>
      </c>
      <c r="H198" s="139" t="e">
        <f t="shared" ca="1" si="7"/>
        <v>#REF!</v>
      </c>
      <c r="I198" s="137" t="e">
        <f t="shared" ca="1" si="8"/>
        <v>#REF!</v>
      </c>
    </row>
    <row r="199" spans="1:9" hidden="1" x14ac:dyDescent="0.25">
      <c r="A199" s="114" t="s">
        <v>391</v>
      </c>
      <c r="B199" s="115" t="s">
        <v>1784</v>
      </c>
      <c r="C199" s="116" t="s">
        <v>20</v>
      </c>
      <c r="D199" s="116">
        <v>0</v>
      </c>
      <c r="E199" s="136">
        <f ca="1">OFFSET(INDEX(Composições!A:J,MATCH(Orçamentária!A199,Composições!A:A,0),8),2,0)</f>
        <v>1.72976</v>
      </c>
      <c r="F199" s="137">
        <f t="shared" ref="F199:F262" ca="1" si="9">IF(ISNUMBER(E199),D199*E199,"")</f>
        <v>0</v>
      </c>
      <c r="G199" s="138" t="e">
        <f>IF(A199&lt;&gt;"",IF(AND(#REF!="Padrão",$H$4=#REF!),BDI!$B$17,IF(AND(#REF!="Padrão",$H$4=#REF!),BDI!#REF!,IF(AND(#REF!="Diferenciado",$H$4=#REF!),BDI!$E$17,IF(AND(#REF!="Diferenciado",$H$4=#REF!),BDI!#REF!,IF(#REF!="ZERO",0))))),"")</f>
        <v>#REF!</v>
      </c>
      <c r="H199" s="139" t="e">
        <f t="shared" ref="H199:H262" ca="1" si="10">IF(ISNUMBER(E199),ROUND(E199*(1+G199),2),"")</f>
        <v>#REF!</v>
      </c>
      <c r="I199" s="137" t="e">
        <f t="shared" ref="I199:I262" ca="1" si="11">IF(ISNUMBER(E199),ROUND(H199*D199,2),"")</f>
        <v>#REF!</v>
      </c>
    </row>
    <row r="200" spans="1:9" hidden="1" x14ac:dyDescent="0.25">
      <c r="A200" s="114" t="s">
        <v>393</v>
      </c>
      <c r="B200" s="115" t="s">
        <v>1785</v>
      </c>
      <c r="C200" s="116" t="s">
        <v>20</v>
      </c>
      <c r="D200" s="116">
        <v>0</v>
      </c>
      <c r="E200" s="136">
        <f ca="1">OFFSET(INDEX(Composições!A:J,MATCH(Orçamentária!A200,Composições!A:A,0),8),2,0)</f>
        <v>19.256500000000003</v>
      </c>
      <c r="F200" s="137">
        <f t="shared" ca="1" si="9"/>
        <v>0</v>
      </c>
      <c r="G200" s="138" t="e">
        <f>IF(A200&lt;&gt;"",IF(AND(#REF!="Padrão",$H$4=#REF!),BDI!$B$17,IF(AND(#REF!="Padrão",$H$4=#REF!),BDI!#REF!,IF(AND(#REF!="Diferenciado",$H$4=#REF!),BDI!$E$17,IF(AND(#REF!="Diferenciado",$H$4=#REF!),BDI!#REF!,IF(#REF!="ZERO",0))))),"")</f>
        <v>#REF!</v>
      </c>
      <c r="H200" s="139" t="e">
        <f t="shared" ca="1" si="10"/>
        <v>#REF!</v>
      </c>
      <c r="I200" s="137" t="e">
        <f t="shared" ca="1" si="11"/>
        <v>#REF!</v>
      </c>
    </row>
    <row r="201" spans="1:9" hidden="1" x14ac:dyDescent="0.25">
      <c r="A201" s="114" t="s">
        <v>395</v>
      </c>
      <c r="B201" s="115" t="s">
        <v>1786</v>
      </c>
      <c r="C201" s="116" t="s">
        <v>20</v>
      </c>
      <c r="D201" s="116">
        <v>0</v>
      </c>
      <c r="E201" s="136">
        <f ca="1">OFFSET(INDEX(Composições!A:J,MATCH(Orçamentária!A201,Composições!A:A,0),8),2,0)</f>
        <v>3.8883519</v>
      </c>
      <c r="F201" s="137">
        <f t="shared" ca="1" si="9"/>
        <v>0</v>
      </c>
      <c r="G201" s="138" t="e">
        <f>IF(A201&lt;&gt;"",IF(AND(#REF!="Padrão",$H$4=#REF!),BDI!$B$17,IF(AND(#REF!="Padrão",$H$4=#REF!),BDI!#REF!,IF(AND(#REF!="Diferenciado",$H$4=#REF!),BDI!$E$17,IF(AND(#REF!="Diferenciado",$H$4=#REF!),BDI!#REF!,IF(#REF!="ZERO",0))))),"")</f>
        <v>#REF!</v>
      </c>
      <c r="H201" s="139" t="e">
        <f t="shared" ca="1" si="10"/>
        <v>#REF!</v>
      </c>
      <c r="I201" s="137" t="e">
        <f t="shared" ca="1" si="11"/>
        <v>#REF!</v>
      </c>
    </row>
    <row r="202" spans="1:9" hidden="1" x14ac:dyDescent="0.25">
      <c r="A202" s="114" t="s">
        <v>396</v>
      </c>
      <c r="B202" s="115" t="s">
        <v>1787</v>
      </c>
      <c r="C202" s="116" t="s">
        <v>20</v>
      </c>
      <c r="D202" s="116">
        <v>0</v>
      </c>
      <c r="E202" s="136">
        <f ca="1">OFFSET(INDEX(Composições!A:J,MATCH(Orçamentária!A202,Composições!A:A,0),8),2,0)</f>
        <v>46.436712499999999</v>
      </c>
      <c r="F202" s="137">
        <f t="shared" ca="1" si="9"/>
        <v>0</v>
      </c>
      <c r="G202" s="138" t="e">
        <f>IF(A202&lt;&gt;"",IF(AND(#REF!="Padrão",$H$4=#REF!),BDI!$B$17,IF(AND(#REF!="Padrão",$H$4=#REF!),BDI!#REF!,IF(AND(#REF!="Diferenciado",$H$4=#REF!),BDI!$E$17,IF(AND(#REF!="Diferenciado",$H$4=#REF!),BDI!#REF!,IF(#REF!="ZERO",0))))),"")</f>
        <v>#REF!</v>
      </c>
      <c r="H202" s="139" t="e">
        <f t="shared" ca="1" si="10"/>
        <v>#REF!</v>
      </c>
      <c r="I202" s="137" t="e">
        <f t="shared" ca="1" si="11"/>
        <v>#REF!</v>
      </c>
    </row>
    <row r="203" spans="1:9" hidden="1" x14ac:dyDescent="0.25">
      <c r="A203" s="114" t="s">
        <v>398</v>
      </c>
      <c r="B203" s="115" t="s">
        <v>1788</v>
      </c>
      <c r="C203" s="116" t="s">
        <v>20</v>
      </c>
      <c r="D203" s="116">
        <v>0</v>
      </c>
      <c r="E203" s="136">
        <f ca="1">OFFSET(INDEX(Composições!A:J,MATCH(Orçamentária!A203,Composições!A:A,0),8),2,0)</f>
        <v>7.4405120999999994</v>
      </c>
      <c r="F203" s="137">
        <f t="shared" ca="1" si="9"/>
        <v>0</v>
      </c>
      <c r="G203" s="138" t="e">
        <f>IF(A203&lt;&gt;"",IF(AND(#REF!="Padrão",$H$4=#REF!),BDI!$B$17,IF(AND(#REF!="Padrão",$H$4=#REF!),BDI!#REF!,IF(AND(#REF!="Diferenciado",$H$4=#REF!),BDI!$E$17,IF(AND(#REF!="Diferenciado",$H$4=#REF!),BDI!#REF!,IF(#REF!="ZERO",0))))),"")</f>
        <v>#REF!</v>
      </c>
      <c r="H203" s="139" t="e">
        <f t="shared" ca="1" si="10"/>
        <v>#REF!</v>
      </c>
      <c r="I203" s="137" t="e">
        <f t="shared" ca="1" si="11"/>
        <v>#REF!</v>
      </c>
    </row>
    <row r="204" spans="1:9" hidden="1" x14ac:dyDescent="0.25">
      <c r="A204" s="114" t="s">
        <v>400</v>
      </c>
      <c r="B204" s="115" t="s">
        <v>1789</v>
      </c>
      <c r="C204" s="116" t="s">
        <v>20</v>
      </c>
      <c r="D204" s="116">
        <v>0</v>
      </c>
      <c r="E204" s="136">
        <f ca="1">OFFSET(INDEX(Composições!A:J,MATCH(Orçamentária!A204,Composições!A:A,0),8),2,0)</f>
        <v>176.06872499999997</v>
      </c>
      <c r="F204" s="137">
        <f t="shared" ca="1" si="9"/>
        <v>0</v>
      </c>
      <c r="G204" s="138" t="e">
        <f>IF(A204&lt;&gt;"",IF(AND(#REF!="Padrão",$H$4=#REF!),BDI!$B$17,IF(AND(#REF!="Padrão",$H$4=#REF!),BDI!#REF!,IF(AND(#REF!="Diferenciado",$H$4=#REF!),BDI!$E$17,IF(AND(#REF!="Diferenciado",$H$4=#REF!),BDI!#REF!,IF(#REF!="ZERO",0))))),"")</f>
        <v>#REF!</v>
      </c>
      <c r="H204" s="139" t="e">
        <f t="shared" ca="1" si="10"/>
        <v>#REF!</v>
      </c>
      <c r="I204" s="137" t="e">
        <f t="shared" ca="1" si="11"/>
        <v>#REF!</v>
      </c>
    </row>
    <row r="205" spans="1:9" hidden="1" x14ac:dyDescent="0.25">
      <c r="A205" s="114" t="s">
        <v>402</v>
      </c>
      <c r="B205" s="115" t="s">
        <v>1790</v>
      </c>
      <c r="C205" s="116" t="s">
        <v>20</v>
      </c>
      <c r="D205" s="116">
        <v>0</v>
      </c>
      <c r="E205" s="136">
        <f ca="1">OFFSET(INDEX(Composições!A:J,MATCH(Orçamentária!A205,Composições!A:A,0),8),2,0)</f>
        <v>185.97401210000001</v>
      </c>
      <c r="F205" s="137">
        <f t="shared" ca="1" si="9"/>
        <v>0</v>
      </c>
      <c r="G205" s="138" t="e">
        <f>IF(A205&lt;&gt;"",IF(AND(#REF!="Padrão",$H$4=#REF!),BDI!$B$17,IF(AND(#REF!="Padrão",$H$4=#REF!),BDI!#REF!,IF(AND(#REF!="Diferenciado",$H$4=#REF!),BDI!$E$17,IF(AND(#REF!="Diferenciado",$H$4=#REF!),BDI!#REF!,IF(#REF!="ZERO",0))))),"")</f>
        <v>#REF!</v>
      </c>
      <c r="H205" s="139" t="e">
        <f t="shared" ca="1" si="10"/>
        <v>#REF!</v>
      </c>
      <c r="I205" s="137" t="e">
        <f t="shared" ca="1" si="11"/>
        <v>#REF!</v>
      </c>
    </row>
    <row r="206" spans="1:9" hidden="1" x14ac:dyDescent="0.25">
      <c r="A206" s="114" t="s">
        <v>404</v>
      </c>
      <c r="B206" s="115" t="s">
        <v>1791</v>
      </c>
      <c r="C206" s="116" t="s">
        <v>20</v>
      </c>
      <c r="D206" s="116">
        <v>0</v>
      </c>
      <c r="E206" s="136">
        <f ca="1">OFFSET(INDEX(Composições!A:J,MATCH(Orçamentária!A206,Composições!A:A,0),8),2,0)</f>
        <v>4.5385461500000002</v>
      </c>
      <c r="F206" s="137">
        <f t="shared" ca="1" si="9"/>
        <v>0</v>
      </c>
      <c r="G206" s="138" t="e">
        <f>IF(A206&lt;&gt;"",IF(AND(#REF!="Padrão",$H$4=#REF!),BDI!$B$17,IF(AND(#REF!="Padrão",$H$4=#REF!),BDI!#REF!,IF(AND(#REF!="Diferenciado",$H$4=#REF!),BDI!$E$17,IF(AND(#REF!="Diferenciado",$H$4=#REF!),BDI!#REF!,IF(#REF!="ZERO",0))))),"")</f>
        <v>#REF!</v>
      </c>
      <c r="H206" s="139" t="e">
        <f t="shared" ca="1" si="10"/>
        <v>#REF!</v>
      </c>
      <c r="I206" s="137" t="e">
        <f t="shared" ca="1" si="11"/>
        <v>#REF!</v>
      </c>
    </row>
    <row r="207" spans="1:9" hidden="1" x14ac:dyDescent="0.25">
      <c r="A207" s="114" t="s">
        <v>406</v>
      </c>
      <c r="B207" s="115" t="s">
        <v>1792</v>
      </c>
      <c r="C207" s="116" t="s">
        <v>20</v>
      </c>
      <c r="D207" s="116">
        <v>0</v>
      </c>
      <c r="E207" s="136">
        <f ca="1">OFFSET(INDEX(Composições!A:J,MATCH(Orçamentária!A207,Composições!A:A,0),8),2,0)</f>
        <v>4.5385461500000002</v>
      </c>
      <c r="F207" s="137">
        <f t="shared" ca="1" si="9"/>
        <v>0</v>
      </c>
      <c r="G207" s="138" t="e">
        <f>IF(A207&lt;&gt;"",IF(AND(#REF!="Padrão",$H$4=#REF!),BDI!$B$17,IF(AND(#REF!="Padrão",$H$4=#REF!),BDI!#REF!,IF(AND(#REF!="Diferenciado",$H$4=#REF!),BDI!$E$17,IF(AND(#REF!="Diferenciado",$H$4=#REF!),BDI!#REF!,IF(#REF!="ZERO",0))))),"")</f>
        <v>#REF!</v>
      </c>
      <c r="H207" s="139" t="e">
        <f t="shared" ca="1" si="10"/>
        <v>#REF!</v>
      </c>
      <c r="I207" s="137" t="e">
        <f t="shared" ca="1" si="11"/>
        <v>#REF!</v>
      </c>
    </row>
    <row r="208" spans="1:9" hidden="1" x14ac:dyDescent="0.25">
      <c r="A208" s="114" t="s">
        <v>408</v>
      </c>
      <c r="B208" s="115" t="s">
        <v>1793</v>
      </c>
      <c r="C208" s="116" t="s">
        <v>20</v>
      </c>
      <c r="D208" s="116">
        <v>0</v>
      </c>
      <c r="E208" s="136">
        <f ca="1">OFFSET(INDEX(Composições!A:J,MATCH(Orçamentária!A208,Composições!A:A,0),8),2,0)</f>
        <v>2.6477554500000005</v>
      </c>
      <c r="F208" s="137">
        <f t="shared" ca="1" si="9"/>
        <v>0</v>
      </c>
      <c r="G208" s="138" t="e">
        <f>IF(A208&lt;&gt;"",IF(AND(#REF!="Padrão",$H$4=#REF!),BDI!$B$17,IF(AND(#REF!="Padrão",$H$4=#REF!),BDI!#REF!,IF(AND(#REF!="Diferenciado",$H$4=#REF!),BDI!$E$17,IF(AND(#REF!="Diferenciado",$H$4=#REF!),BDI!#REF!,IF(#REF!="ZERO",0))))),"")</f>
        <v>#REF!</v>
      </c>
      <c r="H208" s="139" t="e">
        <f t="shared" ca="1" si="10"/>
        <v>#REF!</v>
      </c>
      <c r="I208" s="137" t="e">
        <f t="shared" ca="1" si="11"/>
        <v>#REF!</v>
      </c>
    </row>
    <row r="209" spans="1:9" hidden="1" x14ac:dyDescent="0.25">
      <c r="A209" s="114" t="s">
        <v>410</v>
      </c>
      <c r="B209" s="115" t="s">
        <v>1794</v>
      </c>
      <c r="C209" s="116" t="s">
        <v>20</v>
      </c>
      <c r="D209" s="116">
        <v>0</v>
      </c>
      <c r="E209" s="136">
        <f ca="1">OFFSET(INDEX(Composições!A:J,MATCH(Orçamentária!A209,Composições!A:A,0),8),2,0)</f>
        <v>2.6477554500000005</v>
      </c>
      <c r="F209" s="137">
        <f t="shared" ca="1" si="9"/>
        <v>0</v>
      </c>
      <c r="G209" s="138" t="e">
        <f>IF(A209&lt;&gt;"",IF(AND(#REF!="Padrão",$H$4=#REF!),BDI!$B$17,IF(AND(#REF!="Padrão",$H$4=#REF!),BDI!#REF!,IF(AND(#REF!="Diferenciado",$H$4=#REF!),BDI!$E$17,IF(AND(#REF!="Diferenciado",$H$4=#REF!),BDI!#REF!,IF(#REF!="ZERO",0))))),"")</f>
        <v>#REF!</v>
      </c>
      <c r="H209" s="139" t="e">
        <f t="shared" ca="1" si="10"/>
        <v>#REF!</v>
      </c>
      <c r="I209" s="137" t="e">
        <f t="shared" ca="1" si="11"/>
        <v>#REF!</v>
      </c>
    </row>
    <row r="210" spans="1:9" hidden="1" x14ac:dyDescent="0.25">
      <c r="A210" s="114" t="s">
        <v>412</v>
      </c>
      <c r="B210" s="115" t="s">
        <v>1795</v>
      </c>
      <c r="C210" s="116" t="s">
        <v>20</v>
      </c>
      <c r="D210" s="116">
        <v>0</v>
      </c>
      <c r="E210" s="136">
        <f ca="1">OFFSET(INDEX(Composições!A:J,MATCH(Orçamentária!A210,Composições!A:A,0),8),2,0)</f>
        <v>2.6477554500000005</v>
      </c>
      <c r="F210" s="137">
        <f t="shared" ca="1" si="9"/>
        <v>0</v>
      </c>
      <c r="G210" s="138" t="e">
        <f>IF(A210&lt;&gt;"",IF(AND(#REF!="Padrão",$H$4=#REF!),BDI!$B$17,IF(AND(#REF!="Padrão",$H$4=#REF!),BDI!#REF!,IF(AND(#REF!="Diferenciado",$H$4=#REF!),BDI!$E$17,IF(AND(#REF!="Diferenciado",$H$4=#REF!),BDI!#REF!,IF(#REF!="ZERO",0))))),"")</f>
        <v>#REF!</v>
      </c>
      <c r="H210" s="139" t="e">
        <f t="shared" ca="1" si="10"/>
        <v>#REF!</v>
      </c>
      <c r="I210" s="137" t="e">
        <f t="shared" ca="1" si="11"/>
        <v>#REF!</v>
      </c>
    </row>
    <row r="211" spans="1:9" hidden="1" x14ac:dyDescent="0.25">
      <c r="A211" s="114" t="s">
        <v>414</v>
      </c>
      <c r="B211" s="115" t="s">
        <v>1796</v>
      </c>
      <c r="C211" s="116" t="s">
        <v>20</v>
      </c>
      <c r="D211" s="116">
        <v>0</v>
      </c>
      <c r="E211" s="136">
        <f ca="1">OFFSET(INDEX(Composições!A:J,MATCH(Orçamentária!A211,Composições!A:A,0),8),2,0)</f>
        <v>161.08875545000004</v>
      </c>
      <c r="F211" s="137">
        <f t="shared" ca="1" si="9"/>
        <v>0</v>
      </c>
      <c r="G211" s="138" t="e">
        <f>IF(A211&lt;&gt;"",IF(AND(#REF!="Padrão",$H$4=#REF!),BDI!$B$17,IF(AND(#REF!="Padrão",$H$4=#REF!),BDI!#REF!,IF(AND(#REF!="Diferenciado",$H$4=#REF!),BDI!$E$17,IF(AND(#REF!="Diferenciado",$H$4=#REF!),BDI!#REF!,IF(#REF!="ZERO",0))))),"")</f>
        <v>#REF!</v>
      </c>
      <c r="H211" s="139" t="e">
        <f t="shared" ca="1" si="10"/>
        <v>#REF!</v>
      </c>
      <c r="I211" s="137" t="e">
        <f t="shared" ca="1" si="11"/>
        <v>#REF!</v>
      </c>
    </row>
    <row r="212" spans="1:9" hidden="1" x14ac:dyDescent="0.25">
      <c r="A212" s="114" t="s">
        <v>416</v>
      </c>
      <c r="B212" s="115" t="s">
        <v>1797</v>
      </c>
      <c r="C212" s="116" t="s">
        <v>20</v>
      </c>
      <c r="D212" s="116">
        <v>0</v>
      </c>
      <c r="E212" s="136">
        <f ca="1">OFFSET(INDEX(Composições!A:J,MATCH(Orçamentária!A212,Composições!A:A,0),8),2,0)</f>
        <v>3.19323785</v>
      </c>
      <c r="F212" s="137">
        <f t="shared" ca="1" si="9"/>
        <v>0</v>
      </c>
      <c r="G212" s="138" t="e">
        <f>IF(A212&lt;&gt;"",IF(AND(#REF!="Padrão",$H$4=#REF!),BDI!$B$17,IF(AND(#REF!="Padrão",$H$4=#REF!),BDI!#REF!,IF(AND(#REF!="Diferenciado",$H$4=#REF!),BDI!$E$17,IF(AND(#REF!="Diferenciado",$H$4=#REF!),BDI!#REF!,IF(#REF!="ZERO",0))))),"")</f>
        <v>#REF!</v>
      </c>
      <c r="H212" s="139" t="e">
        <f t="shared" ca="1" si="10"/>
        <v>#REF!</v>
      </c>
      <c r="I212" s="137" t="e">
        <f t="shared" ca="1" si="11"/>
        <v>#REF!</v>
      </c>
    </row>
    <row r="213" spans="1:9" hidden="1" x14ac:dyDescent="0.25">
      <c r="A213" s="114" t="s">
        <v>418</v>
      </c>
      <c r="B213" s="115" t="s">
        <v>1798</v>
      </c>
      <c r="C213" s="116" t="s">
        <v>20</v>
      </c>
      <c r="D213" s="116">
        <v>0</v>
      </c>
      <c r="E213" s="136">
        <f ca="1">OFFSET(INDEX(Composições!A:J,MATCH(Orçamentária!A213,Composições!A:A,0),8),2,0)</f>
        <v>60.532743150000002</v>
      </c>
      <c r="F213" s="137">
        <f t="shared" ca="1" si="9"/>
        <v>0</v>
      </c>
      <c r="G213" s="138" t="e">
        <f>IF(A213&lt;&gt;"",IF(AND(#REF!="Padrão",$H$4=#REF!),BDI!$B$17,IF(AND(#REF!="Padrão",$H$4=#REF!),BDI!#REF!,IF(AND(#REF!="Diferenciado",$H$4=#REF!),BDI!$E$17,IF(AND(#REF!="Diferenciado",$H$4=#REF!),BDI!#REF!,IF(#REF!="ZERO",0))))),"")</f>
        <v>#REF!</v>
      </c>
      <c r="H213" s="139" t="e">
        <f t="shared" ca="1" si="10"/>
        <v>#REF!</v>
      </c>
      <c r="I213" s="137" t="e">
        <f t="shared" ca="1" si="11"/>
        <v>#REF!</v>
      </c>
    </row>
    <row r="214" spans="1:9" hidden="1" x14ac:dyDescent="0.25">
      <c r="A214" s="114" t="s">
        <v>420</v>
      </c>
      <c r="B214" s="115" t="s">
        <v>1799</v>
      </c>
      <c r="C214" s="116" t="s">
        <v>20</v>
      </c>
      <c r="D214" s="116">
        <v>0</v>
      </c>
      <c r="E214" s="136">
        <f ca="1">OFFSET(INDEX(Composições!A:J,MATCH(Orçamentária!A214,Composições!A:A,0),8),2,0)</f>
        <v>30.646316000000006</v>
      </c>
      <c r="F214" s="137">
        <f t="shared" ca="1" si="9"/>
        <v>0</v>
      </c>
      <c r="G214" s="138" t="e">
        <f>IF(A214&lt;&gt;"",IF(AND(#REF!="Padrão",$H$4=#REF!),BDI!$B$17,IF(AND(#REF!="Padrão",$H$4=#REF!),BDI!#REF!,IF(AND(#REF!="Diferenciado",$H$4=#REF!),BDI!$E$17,IF(AND(#REF!="Diferenciado",$H$4=#REF!),BDI!#REF!,IF(#REF!="ZERO",0))))),"")</f>
        <v>#REF!</v>
      </c>
      <c r="H214" s="139" t="e">
        <f t="shared" ca="1" si="10"/>
        <v>#REF!</v>
      </c>
      <c r="I214" s="137" t="e">
        <f t="shared" ca="1" si="11"/>
        <v>#REF!</v>
      </c>
    </row>
    <row r="215" spans="1:9" hidden="1" x14ac:dyDescent="0.25">
      <c r="A215" s="114" t="s">
        <v>423</v>
      </c>
      <c r="B215" s="115" t="s">
        <v>1800</v>
      </c>
      <c r="C215" s="116" t="s">
        <v>20</v>
      </c>
      <c r="D215" s="116">
        <v>0</v>
      </c>
      <c r="E215" s="136">
        <f ca="1">OFFSET(INDEX(Composições!A:J,MATCH(Orçamentária!A215,Composições!A:A,0),8),2,0)</f>
        <v>230.14631600000001</v>
      </c>
      <c r="F215" s="137">
        <f t="shared" ca="1" si="9"/>
        <v>0</v>
      </c>
      <c r="G215" s="138" t="e">
        <f>IF(A215&lt;&gt;"",IF(AND(#REF!="Padrão",$H$4=#REF!),BDI!$B$17,IF(AND(#REF!="Padrão",$H$4=#REF!),BDI!#REF!,IF(AND(#REF!="Diferenciado",$H$4=#REF!),BDI!$E$17,IF(AND(#REF!="Diferenciado",$H$4=#REF!),BDI!#REF!,IF(#REF!="ZERO",0))))),"")</f>
        <v>#REF!</v>
      </c>
      <c r="H215" s="139" t="e">
        <f t="shared" ca="1" si="10"/>
        <v>#REF!</v>
      </c>
      <c r="I215" s="137" t="e">
        <f t="shared" ca="1" si="11"/>
        <v>#REF!</v>
      </c>
    </row>
    <row r="216" spans="1:9" hidden="1" x14ac:dyDescent="0.25">
      <c r="A216" s="114" t="s">
        <v>425</v>
      </c>
      <c r="B216" s="115" t="s">
        <v>1801</v>
      </c>
      <c r="C216" s="116" t="s">
        <v>20</v>
      </c>
      <c r="D216" s="116">
        <v>0</v>
      </c>
      <c r="E216" s="136">
        <f ca="1">OFFSET(INDEX(Composições!A:J,MATCH(Orçamentária!A216,Composições!A:A,0),8),2,0)</f>
        <v>30.646316000000006</v>
      </c>
      <c r="F216" s="137">
        <f t="shared" ca="1" si="9"/>
        <v>0</v>
      </c>
      <c r="G216" s="138" t="e">
        <f>IF(A216&lt;&gt;"",IF(AND(#REF!="Padrão",$H$4=#REF!),BDI!$B$17,IF(AND(#REF!="Padrão",$H$4=#REF!),BDI!#REF!,IF(AND(#REF!="Diferenciado",$H$4=#REF!),BDI!$E$17,IF(AND(#REF!="Diferenciado",$H$4=#REF!),BDI!#REF!,IF(#REF!="ZERO",0))))),"")</f>
        <v>#REF!</v>
      </c>
      <c r="H216" s="139" t="e">
        <f t="shared" ca="1" si="10"/>
        <v>#REF!</v>
      </c>
      <c r="I216" s="137" t="e">
        <f t="shared" ca="1" si="11"/>
        <v>#REF!</v>
      </c>
    </row>
    <row r="217" spans="1:9" hidden="1" x14ac:dyDescent="0.25">
      <c r="A217" s="114" t="s">
        <v>427</v>
      </c>
      <c r="B217" s="115" t="s">
        <v>1802</v>
      </c>
      <c r="C217" s="116" t="s">
        <v>20</v>
      </c>
      <c r="D217" s="116">
        <v>0</v>
      </c>
      <c r="E217" s="136">
        <f ca="1">OFFSET(INDEX(Composições!A:J,MATCH(Orçamentária!A217,Composições!A:A,0),8),2,0)</f>
        <v>192.26031599999999</v>
      </c>
      <c r="F217" s="137">
        <f t="shared" ca="1" si="9"/>
        <v>0</v>
      </c>
      <c r="G217" s="138" t="e">
        <f>IF(A217&lt;&gt;"",IF(AND(#REF!="Padrão",$H$4=#REF!),BDI!$B$17,IF(AND(#REF!="Padrão",$H$4=#REF!),BDI!#REF!,IF(AND(#REF!="Diferenciado",$H$4=#REF!),BDI!$E$17,IF(AND(#REF!="Diferenciado",$H$4=#REF!),BDI!#REF!,IF(#REF!="ZERO",0))))),"")</f>
        <v>#REF!</v>
      </c>
      <c r="H217" s="139" t="e">
        <f t="shared" ca="1" si="10"/>
        <v>#REF!</v>
      </c>
      <c r="I217" s="137" t="e">
        <f t="shared" ca="1" si="11"/>
        <v>#REF!</v>
      </c>
    </row>
    <row r="218" spans="1:9" hidden="1" x14ac:dyDescent="0.25">
      <c r="A218" s="114" t="s">
        <v>429</v>
      </c>
      <c r="B218" s="115" t="s">
        <v>1803</v>
      </c>
      <c r="C218" s="116" t="s">
        <v>20</v>
      </c>
      <c r="D218" s="116">
        <v>0</v>
      </c>
      <c r="E218" s="136">
        <f ca="1">OFFSET(INDEX(Composições!A:J,MATCH(Orçamentária!A218,Composições!A:A,0),8),2,0)</f>
        <v>46.975938200000002</v>
      </c>
      <c r="F218" s="137">
        <f t="shared" ca="1" si="9"/>
        <v>0</v>
      </c>
      <c r="G218" s="138" t="e">
        <f>IF(A218&lt;&gt;"",IF(AND(#REF!="Padrão",$H$4=#REF!),BDI!$B$17,IF(AND(#REF!="Padrão",$H$4=#REF!),BDI!#REF!,IF(AND(#REF!="Diferenciado",$H$4=#REF!),BDI!$E$17,IF(AND(#REF!="Diferenciado",$H$4=#REF!),BDI!#REF!,IF(#REF!="ZERO",0))))),"")</f>
        <v>#REF!</v>
      </c>
      <c r="H218" s="139" t="e">
        <f t="shared" ca="1" si="10"/>
        <v>#REF!</v>
      </c>
      <c r="I218" s="137" t="e">
        <f t="shared" ca="1" si="11"/>
        <v>#REF!</v>
      </c>
    </row>
    <row r="219" spans="1:9" hidden="1" x14ac:dyDescent="0.25">
      <c r="A219" s="114" t="s">
        <v>431</v>
      </c>
      <c r="B219" s="115" t="s">
        <v>1804</v>
      </c>
      <c r="C219" s="116" t="s">
        <v>20</v>
      </c>
      <c r="D219" s="116">
        <v>0</v>
      </c>
      <c r="E219" s="136">
        <f ca="1">OFFSET(INDEX(Composições!A:J,MATCH(Orçamentária!A219,Composições!A:A,0),8),2,0)</f>
        <v>24.861222599999998</v>
      </c>
      <c r="F219" s="137">
        <f t="shared" ca="1" si="9"/>
        <v>0</v>
      </c>
      <c r="G219" s="138" t="e">
        <f>IF(A219&lt;&gt;"",IF(AND(#REF!="Padrão",$H$4=#REF!),BDI!$B$17,IF(AND(#REF!="Padrão",$H$4=#REF!),BDI!#REF!,IF(AND(#REF!="Diferenciado",$H$4=#REF!),BDI!$E$17,IF(AND(#REF!="Diferenciado",$H$4=#REF!),BDI!#REF!,IF(#REF!="ZERO",0))))),"")</f>
        <v>#REF!</v>
      </c>
      <c r="H219" s="139" t="e">
        <f t="shared" ca="1" si="10"/>
        <v>#REF!</v>
      </c>
      <c r="I219" s="137" t="e">
        <f t="shared" ca="1" si="11"/>
        <v>#REF!</v>
      </c>
    </row>
    <row r="220" spans="1:9" hidden="1" x14ac:dyDescent="0.25">
      <c r="A220" s="114" t="s">
        <v>433</v>
      </c>
      <c r="B220" s="115" t="s">
        <v>1805</v>
      </c>
      <c r="C220" s="116" t="s">
        <v>20</v>
      </c>
      <c r="D220" s="116">
        <v>0</v>
      </c>
      <c r="E220" s="136">
        <f ca="1">OFFSET(INDEX(Composições!A:J,MATCH(Orçamentária!A220,Composições!A:A,0),8),2,0)</f>
        <v>202.377816</v>
      </c>
      <c r="F220" s="137">
        <f t="shared" ca="1" si="9"/>
        <v>0</v>
      </c>
      <c r="G220" s="138" t="e">
        <f>IF(A220&lt;&gt;"",IF(AND(#REF!="Padrão",$H$4=#REF!),BDI!$B$17,IF(AND(#REF!="Padrão",$H$4=#REF!),BDI!#REF!,IF(AND(#REF!="Diferenciado",$H$4=#REF!),BDI!$E$17,IF(AND(#REF!="Diferenciado",$H$4=#REF!),BDI!#REF!,IF(#REF!="ZERO",0))))),"")</f>
        <v>#REF!</v>
      </c>
      <c r="H220" s="139" t="e">
        <f t="shared" ca="1" si="10"/>
        <v>#REF!</v>
      </c>
      <c r="I220" s="137" t="e">
        <f t="shared" ca="1" si="11"/>
        <v>#REF!</v>
      </c>
    </row>
    <row r="221" spans="1:9" hidden="1" x14ac:dyDescent="0.25">
      <c r="A221" s="114" t="s">
        <v>435</v>
      </c>
      <c r="B221" s="115" t="s">
        <v>1806</v>
      </c>
      <c r="C221" s="116" t="s">
        <v>20</v>
      </c>
      <c r="D221" s="116">
        <v>0</v>
      </c>
      <c r="E221" s="136">
        <f ca="1">OFFSET(INDEX(Composições!A:J,MATCH(Orçamentária!A221,Composições!A:A,0),8),2,0)</f>
        <v>11.49386</v>
      </c>
      <c r="F221" s="137">
        <f t="shared" ca="1" si="9"/>
        <v>0</v>
      </c>
      <c r="G221" s="138" t="e">
        <f>IF(A221&lt;&gt;"",IF(AND(#REF!="Padrão",$H$4=#REF!),BDI!$B$17,IF(AND(#REF!="Padrão",$H$4=#REF!),BDI!#REF!,IF(AND(#REF!="Diferenciado",$H$4=#REF!),BDI!$E$17,IF(AND(#REF!="Diferenciado",$H$4=#REF!),BDI!#REF!,IF(#REF!="ZERO",0))))),"")</f>
        <v>#REF!</v>
      </c>
      <c r="H221" s="139" t="e">
        <f t="shared" ca="1" si="10"/>
        <v>#REF!</v>
      </c>
      <c r="I221" s="137" t="e">
        <f t="shared" ca="1" si="11"/>
        <v>#REF!</v>
      </c>
    </row>
    <row r="222" spans="1:9" hidden="1" x14ac:dyDescent="0.25">
      <c r="A222" s="114" t="s">
        <v>437</v>
      </c>
      <c r="B222" s="115" t="s">
        <v>1807</v>
      </c>
      <c r="C222" s="116" t="s">
        <v>20</v>
      </c>
      <c r="D222" s="116">
        <v>0</v>
      </c>
      <c r="E222" s="136">
        <f ca="1">OFFSET(INDEX(Composições!A:J,MATCH(Orçamentária!A222,Composições!A:A,0),8),2,0)</f>
        <v>40.222999999999999</v>
      </c>
      <c r="F222" s="137">
        <f t="shared" ca="1" si="9"/>
        <v>0</v>
      </c>
      <c r="G222" s="138" t="e">
        <f>IF(A222&lt;&gt;"",IF(AND(#REF!="Padrão",$H$4=#REF!),BDI!$B$17,IF(AND(#REF!="Padrão",$H$4=#REF!),BDI!#REF!,IF(AND(#REF!="Diferenciado",$H$4=#REF!),BDI!$E$17,IF(AND(#REF!="Diferenciado",$H$4=#REF!),BDI!#REF!,IF(#REF!="ZERO",0))))),"")</f>
        <v>#REF!</v>
      </c>
      <c r="H222" s="139" t="e">
        <f t="shared" ca="1" si="10"/>
        <v>#REF!</v>
      </c>
      <c r="I222" s="137" t="e">
        <f t="shared" ca="1" si="11"/>
        <v>#REF!</v>
      </c>
    </row>
    <row r="223" spans="1:9" hidden="1" x14ac:dyDescent="0.25">
      <c r="A223" s="114" t="s">
        <v>440</v>
      </c>
      <c r="B223" s="115" t="s">
        <v>1808</v>
      </c>
      <c r="C223" s="116" t="s">
        <v>20</v>
      </c>
      <c r="D223" s="116">
        <v>0</v>
      </c>
      <c r="E223" s="136">
        <f ca="1">OFFSET(INDEX(Composições!A:J,MATCH(Orçamentária!A223,Composições!A:A,0),8),2,0)</f>
        <v>40.222999999999999</v>
      </c>
      <c r="F223" s="137">
        <f t="shared" ca="1" si="9"/>
        <v>0</v>
      </c>
      <c r="G223" s="138" t="e">
        <f>IF(A223&lt;&gt;"",IF(AND(#REF!="Padrão",$H$4=#REF!),BDI!$B$17,IF(AND(#REF!="Padrão",$H$4=#REF!),BDI!#REF!,IF(AND(#REF!="Diferenciado",$H$4=#REF!),BDI!$E$17,IF(AND(#REF!="Diferenciado",$H$4=#REF!),BDI!#REF!,IF(#REF!="ZERO",0))))),"")</f>
        <v>#REF!</v>
      </c>
      <c r="H223" s="139" t="e">
        <f t="shared" ca="1" si="10"/>
        <v>#REF!</v>
      </c>
      <c r="I223" s="137" t="e">
        <f t="shared" ca="1" si="11"/>
        <v>#REF!</v>
      </c>
    </row>
    <row r="224" spans="1:9" hidden="1" x14ac:dyDescent="0.25">
      <c r="A224" s="114" t="s">
        <v>442</v>
      </c>
      <c r="B224" s="115" t="s">
        <v>1809</v>
      </c>
      <c r="C224" s="116" t="s">
        <v>20</v>
      </c>
      <c r="D224" s="116">
        <v>0</v>
      </c>
      <c r="E224" s="136">
        <f ca="1">OFFSET(INDEX(Composições!A:J,MATCH(Orçamentária!A224,Composições!A:A,0),8),2,0)</f>
        <v>40.222999999999999</v>
      </c>
      <c r="F224" s="137">
        <f t="shared" ca="1" si="9"/>
        <v>0</v>
      </c>
      <c r="G224" s="138" t="e">
        <f>IF(A224&lt;&gt;"",IF(AND(#REF!="Padrão",$H$4=#REF!),BDI!$B$17,IF(AND(#REF!="Padrão",$H$4=#REF!),BDI!#REF!,IF(AND(#REF!="Diferenciado",$H$4=#REF!),BDI!$E$17,IF(AND(#REF!="Diferenciado",$H$4=#REF!),BDI!#REF!,IF(#REF!="ZERO",0))))),"")</f>
        <v>#REF!</v>
      </c>
      <c r="H224" s="139" t="e">
        <f t="shared" ca="1" si="10"/>
        <v>#REF!</v>
      </c>
      <c r="I224" s="137" t="e">
        <f t="shared" ca="1" si="11"/>
        <v>#REF!</v>
      </c>
    </row>
    <row r="225" spans="1:9" hidden="1" x14ac:dyDescent="0.25">
      <c r="A225" s="114" t="s">
        <v>444</v>
      </c>
      <c r="B225" s="115" t="s">
        <v>1810</v>
      </c>
      <c r="C225" s="116" t="s">
        <v>20</v>
      </c>
      <c r="D225" s="116">
        <v>0</v>
      </c>
      <c r="E225" s="136">
        <f ca="1">OFFSET(INDEX(Composições!A:J,MATCH(Orçamentária!A225,Composições!A:A,0),8),2,0)</f>
        <v>40.222999999999999</v>
      </c>
      <c r="F225" s="137">
        <f t="shared" ca="1" si="9"/>
        <v>0</v>
      </c>
      <c r="G225" s="138" t="e">
        <f>IF(A225&lt;&gt;"",IF(AND(#REF!="Padrão",$H$4=#REF!),BDI!$B$17,IF(AND(#REF!="Padrão",$H$4=#REF!),BDI!#REF!,IF(AND(#REF!="Diferenciado",$H$4=#REF!),BDI!$E$17,IF(AND(#REF!="Diferenciado",$H$4=#REF!),BDI!#REF!,IF(#REF!="ZERO",0))))),"")</f>
        <v>#REF!</v>
      </c>
      <c r="H225" s="139" t="e">
        <f t="shared" ca="1" si="10"/>
        <v>#REF!</v>
      </c>
      <c r="I225" s="137" t="e">
        <f t="shared" ca="1" si="11"/>
        <v>#REF!</v>
      </c>
    </row>
    <row r="226" spans="1:9" hidden="1" x14ac:dyDescent="0.25">
      <c r="A226" s="114" t="s">
        <v>446</v>
      </c>
      <c r="B226" s="115" t="s">
        <v>1811</v>
      </c>
      <c r="C226" s="116" t="s">
        <v>20</v>
      </c>
      <c r="D226" s="116">
        <v>0</v>
      </c>
      <c r="E226" s="136">
        <f ca="1">OFFSET(INDEX(Composições!A:J,MATCH(Orçamentária!A226,Composições!A:A,0),8),2,0)</f>
        <v>29.296234899999998</v>
      </c>
      <c r="F226" s="137">
        <f t="shared" ca="1" si="9"/>
        <v>0</v>
      </c>
      <c r="G226" s="138" t="e">
        <f>IF(A226&lt;&gt;"",IF(AND(#REF!="Padrão",$H$4=#REF!),BDI!$B$17,IF(AND(#REF!="Padrão",$H$4=#REF!),BDI!#REF!,IF(AND(#REF!="Diferenciado",$H$4=#REF!),BDI!$E$17,IF(AND(#REF!="Diferenciado",$H$4=#REF!),BDI!#REF!,IF(#REF!="ZERO",0))))),"")</f>
        <v>#REF!</v>
      </c>
      <c r="H226" s="139" t="e">
        <f t="shared" ca="1" si="10"/>
        <v>#REF!</v>
      </c>
      <c r="I226" s="137" t="e">
        <f t="shared" ca="1" si="11"/>
        <v>#REF!</v>
      </c>
    </row>
    <row r="227" spans="1:9" hidden="1" x14ac:dyDescent="0.25">
      <c r="A227" s="114" t="s">
        <v>448</v>
      </c>
      <c r="B227" s="115" t="s">
        <v>1812</v>
      </c>
      <c r="C227" s="116" t="s">
        <v>20</v>
      </c>
      <c r="D227" s="116">
        <v>0</v>
      </c>
      <c r="E227" s="136">
        <f ca="1">OFFSET(INDEX(Composições!A:J,MATCH(Orçamentária!A227,Composições!A:A,0),8),2,0)</f>
        <v>95.656517449999996</v>
      </c>
      <c r="F227" s="137">
        <f t="shared" ca="1" si="9"/>
        <v>0</v>
      </c>
      <c r="G227" s="138" t="e">
        <f>IF(A227&lt;&gt;"",IF(AND(#REF!="Padrão",$H$4=#REF!),BDI!$B$17,IF(AND(#REF!="Padrão",$H$4=#REF!),BDI!#REF!,IF(AND(#REF!="Diferenciado",$H$4=#REF!),BDI!$E$17,IF(AND(#REF!="Diferenciado",$H$4=#REF!),BDI!#REF!,IF(#REF!="ZERO",0))))),"")</f>
        <v>#REF!</v>
      </c>
      <c r="H227" s="139" t="e">
        <f t="shared" ca="1" si="10"/>
        <v>#REF!</v>
      </c>
      <c r="I227" s="137" t="e">
        <f t="shared" ca="1" si="11"/>
        <v>#REF!</v>
      </c>
    </row>
    <row r="228" spans="1:9" hidden="1" x14ac:dyDescent="0.25">
      <c r="A228" s="114" t="s">
        <v>450</v>
      </c>
      <c r="B228" s="115" t="s">
        <v>1813</v>
      </c>
      <c r="C228" s="116" t="s">
        <v>20</v>
      </c>
      <c r="D228" s="116">
        <v>0</v>
      </c>
      <c r="E228" s="136">
        <f ca="1">OFFSET(INDEX(Composições!A:J,MATCH(Orçamentária!A228,Composições!A:A,0),8),2,0)</f>
        <v>3.8883519</v>
      </c>
      <c r="F228" s="137">
        <f t="shared" ca="1" si="9"/>
        <v>0</v>
      </c>
      <c r="G228" s="138" t="e">
        <f>IF(A228&lt;&gt;"",IF(AND(#REF!="Padrão",$H$4=#REF!),BDI!$B$17,IF(AND(#REF!="Padrão",$H$4=#REF!),BDI!#REF!,IF(AND(#REF!="Diferenciado",$H$4=#REF!),BDI!$E$17,IF(AND(#REF!="Diferenciado",$H$4=#REF!),BDI!#REF!,IF(#REF!="ZERO",0))))),"")</f>
        <v>#REF!</v>
      </c>
      <c r="H228" s="139" t="e">
        <f t="shared" ca="1" si="10"/>
        <v>#REF!</v>
      </c>
      <c r="I228" s="137" t="e">
        <f t="shared" ca="1" si="11"/>
        <v>#REF!</v>
      </c>
    </row>
    <row r="229" spans="1:9" hidden="1" x14ac:dyDescent="0.25">
      <c r="A229" s="114" t="s">
        <v>453</v>
      </c>
      <c r="B229" s="115" t="s">
        <v>1814</v>
      </c>
      <c r="C229" s="116" t="s">
        <v>20</v>
      </c>
      <c r="D229" s="116">
        <v>0</v>
      </c>
      <c r="E229" s="136">
        <f ca="1">OFFSET(INDEX(Composições!A:J,MATCH(Orçamentária!A229,Composições!A:A,0),8),2,0)</f>
        <v>8.4615018000000006</v>
      </c>
      <c r="F229" s="137">
        <f t="shared" ca="1" si="9"/>
        <v>0</v>
      </c>
      <c r="G229" s="138" t="e">
        <f>IF(A229&lt;&gt;"",IF(AND(#REF!="Padrão",$H$4=#REF!),BDI!$B$17,IF(AND(#REF!="Padrão",$H$4=#REF!),BDI!#REF!,IF(AND(#REF!="Diferenciado",$H$4=#REF!),BDI!$E$17,IF(AND(#REF!="Diferenciado",$H$4=#REF!),BDI!#REF!,IF(#REF!="ZERO",0))))),"")</f>
        <v>#REF!</v>
      </c>
      <c r="H229" s="139" t="e">
        <f t="shared" ca="1" si="10"/>
        <v>#REF!</v>
      </c>
      <c r="I229" s="137" t="e">
        <f t="shared" ca="1" si="11"/>
        <v>#REF!</v>
      </c>
    </row>
    <row r="230" spans="1:9" hidden="1" x14ac:dyDescent="0.25">
      <c r="A230" s="114" t="s">
        <v>455</v>
      </c>
      <c r="B230" s="115" t="s">
        <v>1815</v>
      </c>
      <c r="C230" s="116" t="s">
        <v>20</v>
      </c>
      <c r="D230" s="116">
        <v>0</v>
      </c>
      <c r="E230" s="136">
        <f ca="1">OFFSET(INDEX(Composições!A:J,MATCH(Orçamentária!A230,Composições!A:A,0),8),2,0)</f>
        <v>8.4615018000000006</v>
      </c>
      <c r="F230" s="137">
        <f t="shared" ca="1" si="9"/>
        <v>0</v>
      </c>
      <c r="G230" s="138" t="e">
        <f>IF(A230&lt;&gt;"",IF(AND(#REF!="Padrão",$H$4=#REF!),BDI!$B$17,IF(AND(#REF!="Padrão",$H$4=#REF!),BDI!#REF!,IF(AND(#REF!="Diferenciado",$H$4=#REF!),BDI!$E$17,IF(AND(#REF!="Diferenciado",$H$4=#REF!),BDI!#REF!,IF(#REF!="ZERO",0))))),"")</f>
        <v>#REF!</v>
      </c>
      <c r="H230" s="139" t="e">
        <f t="shared" ca="1" si="10"/>
        <v>#REF!</v>
      </c>
      <c r="I230" s="137" t="e">
        <f t="shared" ca="1" si="11"/>
        <v>#REF!</v>
      </c>
    </row>
    <row r="231" spans="1:9" hidden="1" x14ac:dyDescent="0.25">
      <c r="A231" s="114" t="s">
        <v>457</v>
      </c>
      <c r="B231" s="115" t="s">
        <v>1816</v>
      </c>
      <c r="C231" s="116" t="s">
        <v>20</v>
      </c>
      <c r="D231" s="116">
        <v>0</v>
      </c>
      <c r="E231" s="136">
        <f ca="1">OFFSET(INDEX(Composições!A:J,MATCH(Orçamentária!A231,Composições!A:A,0),8),2,0)</f>
        <v>16.9208414</v>
      </c>
      <c r="F231" s="137">
        <f t="shared" ca="1" si="9"/>
        <v>0</v>
      </c>
      <c r="G231" s="138" t="e">
        <f>IF(A231&lt;&gt;"",IF(AND(#REF!="Padrão",$H$4=#REF!),BDI!$B$17,IF(AND(#REF!="Padrão",$H$4=#REF!),BDI!#REF!,IF(AND(#REF!="Diferenciado",$H$4=#REF!),BDI!$E$17,IF(AND(#REF!="Diferenciado",$H$4=#REF!),BDI!#REF!,IF(#REF!="ZERO",0))))),"")</f>
        <v>#REF!</v>
      </c>
      <c r="H231" s="139" t="e">
        <f t="shared" ca="1" si="10"/>
        <v>#REF!</v>
      </c>
      <c r="I231" s="137" t="e">
        <f t="shared" ca="1" si="11"/>
        <v>#REF!</v>
      </c>
    </row>
    <row r="232" spans="1:9" hidden="1" x14ac:dyDescent="0.25">
      <c r="A232" s="114" t="s">
        <v>459</v>
      </c>
      <c r="B232" s="115" t="s">
        <v>1817</v>
      </c>
      <c r="C232" s="116" t="s">
        <v>20</v>
      </c>
      <c r="D232" s="116">
        <v>0</v>
      </c>
      <c r="E232" s="136">
        <f ca="1">OFFSET(INDEX(Composições!A:J,MATCH(Orçamentária!A232,Composições!A:A,0),8),2,0)</f>
        <v>8.1640552861540989</v>
      </c>
      <c r="F232" s="137">
        <f t="shared" ca="1" si="9"/>
        <v>0</v>
      </c>
      <c r="G232" s="138" t="e">
        <f>IF(A232&lt;&gt;"",IF(AND(#REF!="Padrão",$H$4=#REF!),BDI!$B$17,IF(AND(#REF!="Padrão",$H$4=#REF!),BDI!#REF!,IF(AND(#REF!="Diferenciado",$H$4=#REF!),BDI!$E$17,IF(AND(#REF!="Diferenciado",$H$4=#REF!),BDI!#REF!,IF(#REF!="ZERO",0))))),"")</f>
        <v>#REF!</v>
      </c>
      <c r="H232" s="139" t="e">
        <f t="shared" ca="1" si="10"/>
        <v>#REF!</v>
      </c>
      <c r="I232" s="137" t="e">
        <f t="shared" ca="1" si="11"/>
        <v>#REF!</v>
      </c>
    </row>
    <row r="233" spans="1:9" hidden="1" x14ac:dyDescent="0.25">
      <c r="A233" s="114" t="s">
        <v>461</v>
      </c>
      <c r="B233" s="115" t="s">
        <v>462</v>
      </c>
      <c r="C233" s="116" t="s">
        <v>20</v>
      </c>
      <c r="D233" s="116">
        <v>0</v>
      </c>
      <c r="E233" s="136">
        <f ca="1">OFFSET(INDEX(Composições!A:J,MATCH(Orçamentária!A233,Composições!A:A,0),8),2,0)</f>
        <v>5.7469299999999999</v>
      </c>
      <c r="F233" s="137">
        <f t="shared" ca="1" si="9"/>
        <v>0</v>
      </c>
      <c r="G233" s="138" t="e">
        <f>IF(A233&lt;&gt;"",IF(AND(#REF!="Padrão",$H$4=#REF!),BDI!$B$17,IF(AND(#REF!="Padrão",$H$4=#REF!),BDI!#REF!,IF(AND(#REF!="Diferenciado",$H$4=#REF!),BDI!$E$17,IF(AND(#REF!="Diferenciado",$H$4=#REF!),BDI!#REF!,IF(#REF!="ZERO",0))))),"")</f>
        <v>#REF!</v>
      </c>
      <c r="H233" s="139" t="e">
        <f t="shared" ca="1" si="10"/>
        <v>#REF!</v>
      </c>
      <c r="I233" s="137" t="e">
        <f t="shared" ca="1" si="11"/>
        <v>#REF!</v>
      </c>
    </row>
    <row r="234" spans="1:9" hidden="1" x14ac:dyDescent="0.25">
      <c r="A234" s="114" t="s">
        <v>463</v>
      </c>
      <c r="B234" s="115" t="s">
        <v>1818</v>
      </c>
      <c r="C234" s="116" t="s">
        <v>20</v>
      </c>
      <c r="D234" s="116">
        <v>0</v>
      </c>
      <c r="E234" s="136">
        <f ca="1">OFFSET(INDEX(Composições!A:J,MATCH(Orçamentária!A234,Composições!A:A,0),8),2,0)</f>
        <v>11.087744381538801</v>
      </c>
      <c r="F234" s="137">
        <f t="shared" ca="1" si="9"/>
        <v>0</v>
      </c>
      <c r="G234" s="138" t="e">
        <f>IF(A234&lt;&gt;"",IF(AND(#REF!="Padrão",$H$4=#REF!),BDI!$B$17,IF(AND(#REF!="Padrão",$H$4=#REF!),BDI!#REF!,IF(AND(#REF!="Diferenciado",$H$4=#REF!),BDI!$E$17,IF(AND(#REF!="Diferenciado",$H$4=#REF!),BDI!#REF!,IF(#REF!="ZERO",0))))),"")</f>
        <v>#REF!</v>
      </c>
      <c r="H234" s="139" t="e">
        <f t="shared" ca="1" si="10"/>
        <v>#REF!</v>
      </c>
      <c r="I234" s="137" t="e">
        <f t="shared" ca="1" si="11"/>
        <v>#REF!</v>
      </c>
    </row>
    <row r="235" spans="1:9" hidden="1" x14ac:dyDescent="0.25">
      <c r="A235" s="114" t="s">
        <v>465</v>
      </c>
      <c r="B235" s="115" t="s">
        <v>466</v>
      </c>
      <c r="C235" s="116" t="s">
        <v>20</v>
      </c>
      <c r="D235" s="116">
        <v>0</v>
      </c>
      <c r="E235" s="136">
        <f ca="1">OFFSET(INDEX(Composições!A:J,MATCH(Orçamentária!A235,Composições!A:A,0),8),2,0)</f>
        <v>6.579244000000001</v>
      </c>
      <c r="F235" s="137">
        <f t="shared" ca="1" si="9"/>
        <v>0</v>
      </c>
      <c r="G235" s="138" t="e">
        <f>IF(A235&lt;&gt;"",IF(AND(#REF!="Padrão",$H$4=#REF!),BDI!$B$17,IF(AND(#REF!="Padrão",$H$4=#REF!),BDI!#REF!,IF(AND(#REF!="Diferenciado",$H$4=#REF!),BDI!$E$17,IF(AND(#REF!="Diferenciado",$H$4=#REF!),BDI!#REF!,IF(#REF!="ZERO",0))))),"")</f>
        <v>#REF!</v>
      </c>
      <c r="H235" s="139" t="e">
        <f t="shared" ca="1" si="10"/>
        <v>#REF!</v>
      </c>
      <c r="I235" s="137" t="e">
        <f t="shared" ca="1" si="11"/>
        <v>#REF!</v>
      </c>
    </row>
    <row r="236" spans="1:9" hidden="1" x14ac:dyDescent="0.25">
      <c r="A236" s="114" t="s">
        <v>467</v>
      </c>
      <c r="B236" s="115" t="s">
        <v>1819</v>
      </c>
      <c r="C236" s="116" t="s">
        <v>20</v>
      </c>
      <c r="D236" s="116">
        <v>0</v>
      </c>
      <c r="E236" s="136">
        <f ca="1">OFFSET(INDEX(Composições!A:J,MATCH(Orçamentária!A236,Composições!A:A,0),8),2,0)</f>
        <v>13.713363999999999</v>
      </c>
      <c r="F236" s="137">
        <f t="shared" ca="1" si="9"/>
        <v>0</v>
      </c>
      <c r="G236" s="138" t="e">
        <f>IF(A236&lt;&gt;"",IF(AND(#REF!="Padrão",$H$4=#REF!),BDI!$B$17,IF(AND(#REF!="Padrão",$H$4=#REF!),BDI!#REF!,IF(AND(#REF!="Diferenciado",$H$4=#REF!),BDI!$E$17,IF(AND(#REF!="Diferenciado",$H$4=#REF!),BDI!#REF!,IF(#REF!="ZERO",0))))),"")</f>
        <v>#REF!</v>
      </c>
      <c r="H236" s="139" t="e">
        <f t="shared" ca="1" si="10"/>
        <v>#REF!</v>
      </c>
      <c r="I236" s="137" t="e">
        <f t="shared" ca="1" si="11"/>
        <v>#REF!</v>
      </c>
    </row>
    <row r="237" spans="1:9" hidden="1" x14ac:dyDescent="0.25">
      <c r="A237" s="114" t="s">
        <v>469</v>
      </c>
      <c r="B237" s="115" t="s">
        <v>1820</v>
      </c>
      <c r="C237" s="116" t="s">
        <v>20</v>
      </c>
      <c r="D237" s="116">
        <v>0</v>
      </c>
      <c r="E237" s="136">
        <f ca="1">OFFSET(INDEX(Composições!A:J,MATCH(Orçamentária!A237,Composições!A:A,0),8),2,0)</f>
        <v>13.713363999999999</v>
      </c>
      <c r="F237" s="137">
        <f t="shared" ca="1" si="9"/>
        <v>0</v>
      </c>
      <c r="G237" s="138" t="e">
        <f>IF(A237&lt;&gt;"",IF(AND(#REF!="Padrão",$H$4=#REF!),BDI!$B$17,IF(AND(#REF!="Padrão",$H$4=#REF!),BDI!#REF!,IF(AND(#REF!="Diferenciado",$H$4=#REF!),BDI!$E$17,IF(AND(#REF!="Diferenciado",$H$4=#REF!),BDI!#REF!,IF(#REF!="ZERO",0))))),"")</f>
        <v>#REF!</v>
      </c>
      <c r="H237" s="139" t="e">
        <f t="shared" ca="1" si="10"/>
        <v>#REF!</v>
      </c>
      <c r="I237" s="137" t="e">
        <f t="shared" ca="1" si="11"/>
        <v>#REF!</v>
      </c>
    </row>
    <row r="238" spans="1:9" hidden="1" x14ac:dyDescent="0.25">
      <c r="A238" s="114" t="s">
        <v>471</v>
      </c>
      <c r="B238" s="115" t="s">
        <v>1821</v>
      </c>
      <c r="C238" s="116" t="s">
        <v>20</v>
      </c>
      <c r="D238" s="116">
        <v>0</v>
      </c>
      <c r="E238" s="136">
        <f ca="1">OFFSET(INDEX(Composições!A:J,MATCH(Orçamentária!A238,Composições!A:A,0),8),2,0)</f>
        <v>54.170006999999998</v>
      </c>
      <c r="F238" s="137">
        <f t="shared" ca="1" si="9"/>
        <v>0</v>
      </c>
      <c r="G238" s="138" t="e">
        <f>IF(A238&lt;&gt;"",IF(AND(#REF!="Padrão",$H$4=#REF!),BDI!$B$17,IF(AND(#REF!="Padrão",$H$4=#REF!),BDI!#REF!,IF(AND(#REF!="Diferenciado",$H$4=#REF!),BDI!$E$17,IF(AND(#REF!="Diferenciado",$H$4=#REF!),BDI!#REF!,IF(#REF!="ZERO",0))))),"")</f>
        <v>#REF!</v>
      </c>
      <c r="H238" s="139" t="e">
        <f t="shared" ca="1" si="10"/>
        <v>#REF!</v>
      </c>
      <c r="I238" s="137" t="e">
        <f t="shared" ca="1" si="11"/>
        <v>#REF!</v>
      </c>
    </row>
    <row r="239" spans="1:9" hidden="1" x14ac:dyDescent="0.25">
      <c r="A239" s="114" t="s">
        <v>473</v>
      </c>
      <c r="B239" s="115" t="s">
        <v>1822</v>
      </c>
      <c r="C239" s="116" t="s">
        <v>20</v>
      </c>
      <c r="D239" s="116">
        <v>0</v>
      </c>
      <c r="E239" s="136">
        <f ca="1">OFFSET(INDEX(Composições!A:J,MATCH(Orçamentária!A239,Composições!A:A,0),8),2,0)</f>
        <v>13.713363999999999</v>
      </c>
      <c r="F239" s="137">
        <f t="shared" ca="1" si="9"/>
        <v>0</v>
      </c>
      <c r="G239" s="138" t="e">
        <f>IF(A239&lt;&gt;"",IF(AND(#REF!="Padrão",$H$4=#REF!),BDI!$B$17,IF(AND(#REF!="Padrão",$H$4=#REF!),BDI!#REF!,IF(AND(#REF!="Diferenciado",$H$4=#REF!),BDI!$E$17,IF(AND(#REF!="Diferenciado",$H$4=#REF!),BDI!#REF!,IF(#REF!="ZERO",0))))),"")</f>
        <v>#REF!</v>
      </c>
      <c r="H239" s="139" t="e">
        <f t="shared" ca="1" si="10"/>
        <v>#REF!</v>
      </c>
      <c r="I239" s="137" t="e">
        <f t="shared" ca="1" si="11"/>
        <v>#REF!</v>
      </c>
    </row>
    <row r="240" spans="1:9" hidden="1" x14ac:dyDescent="0.25">
      <c r="A240" s="114" t="s">
        <v>475</v>
      </c>
      <c r="B240" s="115" t="s">
        <v>1823</v>
      </c>
      <c r="C240" s="116" t="s">
        <v>94</v>
      </c>
      <c r="D240" s="116">
        <v>0</v>
      </c>
      <c r="E240" s="136">
        <f ca="1">OFFSET(INDEX(Composições!A:J,MATCH(Orçamentária!A240,Composições!A:A,0),8),2,0)</f>
        <v>7.1341199999999994</v>
      </c>
      <c r="F240" s="137">
        <f t="shared" ca="1" si="9"/>
        <v>0</v>
      </c>
      <c r="G240" s="138" t="e">
        <f>IF(A240&lt;&gt;"",IF(AND(#REF!="Padrão",$H$4=#REF!),BDI!$B$17,IF(AND(#REF!="Padrão",$H$4=#REF!),BDI!#REF!,IF(AND(#REF!="Diferenciado",$H$4=#REF!),BDI!$E$17,IF(AND(#REF!="Diferenciado",$H$4=#REF!),BDI!#REF!,IF(#REF!="ZERO",0))))),"")</f>
        <v>#REF!</v>
      </c>
      <c r="H240" s="139" t="e">
        <f t="shared" ca="1" si="10"/>
        <v>#REF!</v>
      </c>
      <c r="I240" s="137" t="e">
        <f t="shared" ca="1" si="11"/>
        <v>#REF!</v>
      </c>
    </row>
    <row r="241" spans="1:9" hidden="1" x14ac:dyDescent="0.25">
      <c r="A241" s="114" t="s">
        <v>477</v>
      </c>
      <c r="B241" s="115" t="s">
        <v>1824</v>
      </c>
      <c r="C241" s="116" t="s">
        <v>20</v>
      </c>
      <c r="D241" s="116">
        <v>0</v>
      </c>
      <c r="E241" s="136">
        <f ca="1">OFFSET(INDEX(Composições!A:J,MATCH(Orçamentária!A241,Composições!A:A,0),8),2,0)</f>
        <v>32.011409</v>
      </c>
      <c r="F241" s="137">
        <f t="shared" ca="1" si="9"/>
        <v>0</v>
      </c>
      <c r="G241" s="138" t="e">
        <f>IF(A241&lt;&gt;"",IF(AND(#REF!="Padrão",$H$4=#REF!),BDI!$B$17,IF(AND(#REF!="Padrão",$H$4=#REF!),BDI!#REF!,IF(AND(#REF!="Diferenciado",$H$4=#REF!),BDI!$E$17,IF(AND(#REF!="Diferenciado",$H$4=#REF!),BDI!#REF!,IF(#REF!="ZERO",0))))),"")</f>
        <v>#REF!</v>
      </c>
      <c r="H241" s="139" t="e">
        <f t="shared" ca="1" si="10"/>
        <v>#REF!</v>
      </c>
      <c r="I241" s="137" t="e">
        <f t="shared" ca="1" si="11"/>
        <v>#REF!</v>
      </c>
    </row>
    <row r="242" spans="1:9" hidden="1" x14ac:dyDescent="0.25">
      <c r="A242" s="114" t="s">
        <v>480</v>
      </c>
      <c r="B242" s="115" t="s">
        <v>1825</v>
      </c>
      <c r="C242" s="116" t="s">
        <v>94</v>
      </c>
      <c r="D242" s="116">
        <v>0</v>
      </c>
      <c r="E242" s="136">
        <f ca="1">OFFSET(INDEX(Composições!A:J,MATCH(Orçamentária!A242,Composições!A:A,0),8),2,0)</f>
        <v>18.40577025</v>
      </c>
      <c r="F242" s="137">
        <f t="shared" ca="1" si="9"/>
        <v>0</v>
      </c>
      <c r="G242" s="138" t="e">
        <f>IF(A242&lt;&gt;"",IF(AND(#REF!="Padrão",$H$4=#REF!),BDI!$B$17,IF(AND(#REF!="Padrão",$H$4=#REF!),BDI!#REF!,IF(AND(#REF!="Diferenciado",$H$4=#REF!),BDI!$E$17,IF(AND(#REF!="Diferenciado",$H$4=#REF!),BDI!#REF!,IF(#REF!="ZERO",0))))),"")</f>
        <v>#REF!</v>
      </c>
      <c r="H242" s="139" t="e">
        <f t="shared" ca="1" si="10"/>
        <v>#REF!</v>
      </c>
      <c r="I242" s="137" t="e">
        <f t="shared" ca="1" si="11"/>
        <v>#REF!</v>
      </c>
    </row>
    <row r="243" spans="1:9" hidden="1" x14ac:dyDescent="0.25">
      <c r="A243" s="114" t="s">
        <v>491</v>
      </c>
      <c r="B243" s="115" t="s">
        <v>1826</v>
      </c>
      <c r="C243" s="116" t="s">
        <v>94</v>
      </c>
      <c r="D243" s="116">
        <v>0</v>
      </c>
      <c r="E243" s="136">
        <f ca="1">OFFSET(INDEX(Composições!A:J,MATCH(Orçamentária!A243,Composições!A:A,0),8),2,0)</f>
        <v>24.540879750000002</v>
      </c>
      <c r="F243" s="137">
        <f t="shared" ca="1" si="9"/>
        <v>0</v>
      </c>
      <c r="G243" s="138" t="e">
        <f>IF(A243&lt;&gt;"",IF(AND(#REF!="Padrão",$H$4=#REF!),BDI!$B$17,IF(AND(#REF!="Padrão",$H$4=#REF!),BDI!#REF!,IF(AND(#REF!="Diferenciado",$H$4=#REF!),BDI!$E$17,IF(AND(#REF!="Diferenciado",$H$4=#REF!),BDI!#REF!,IF(#REF!="ZERO",0))))),"")</f>
        <v>#REF!</v>
      </c>
      <c r="H243" s="139" t="e">
        <f t="shared" ca="1" si="10"/>
        <v>#REF!</v>
      </c>
      <c r="I243" s="137" t="e">
        <f t="shared" ca="1" si="11"/>
        <v>#REF!</v>
      </c>
    </row>
    <row r="244" spans="1:9" hidden="1" x14ac:dyDescent="0.25">
      <c r="A244" s="114" t="s">
        <v>496</v>
      </c>
      <c r="B244" s="115" t="s">
        <v>1827</v>
      </c>
      <c r="C244" s="116" t="s">
        <v>94</v>
      </c>
      <c r="D244" s="116">
        <v>0</v>
      </c>
      <c r="E244" s="136">
        <f ca="1">OFFSET(INDEX(Composições!A:J,MATCH(Orçamentária!A244,Composições!A:A,0),8),2,0)</f>
        <v>20.577479750000002</v>
      </c>
      <c r="F244" s="137">
        <f t="shared" ca="1" si="9"/>
        <v>0</v>
      </c>
      <c r="G244" s="138" t="e">
        <f>IF(A244&lt;&gt;"",IF(AND(#REF!="Padrão",$H$4=#REF!),BDI!$B$17,IF(AND(#REF!="Padrão",$H$4=#REF!),BDI!#REF!,IF(AND(#REF!="Diferenciado",$H$4=#REF!),BDI!$E$17,IF(AND(#REF!="Diferenciado",$H$4=#REF!),BDI!#REF!,IF(#REF!="ZERO",0))))),"")</f>
        <v>#REF!</v>
      </c>
      <c r="H244" s="139" t="e">
        <f t="shared" ca="1" si="10"/>
        <v>#REF!</v>
      </c>
      <c r="I244" s="137" t="e">
        <f t="shared" ca="1" si="11"/>
        <v>#REF!</v>
      </c>
    </row>
    <row r="245" spans="1:9" hidden="1" x14ac:dyDescent="0.25">
      <c r="A245" s="114" t="s">
        <v>499</v>
      </c>
      <c r="B245" s="115" t="s">
        <v>1828</v>
      </c>
      <c r="C245" s="116" t="s">
        <v>94</v>
      </c>
      <c r="D245" s="116">
        <v>0</v>
      </c>
      <c r="E245" s="136">
        <f ca="1">OFFSET(INDEX(Composições!A:J,MATCH(Orçamentária!A245,Composições!A:A,0),8),2,0)</f>
        <v>27.159079750000007</v>
      </c>
      <c r="F245" s="137">
        <f t="shared" ca="1" si="9"/>
        <v>0</v>
      </c>
      <c r="G245" s="138" t="e">
        <f>IF(A245&lt;&gt;"",IF(AND(#REF!="Padrão",$H$4=#REF!),BDI!$B$17,IF(AND(#REF!="Padrão",$H$4=#REF!),BDI!#REF!,IF(AND(#REF!="Diferenciado",$H$4=#REF!),BDI!$E$17,IF(AND(#REF!="Diferenciado",$H$4=#REF!),BDI!#REF!,IF(#REF!="ZERO",0))))),"")</f>
        <v>#REF!</v>
      </c>
      <c r="H245" s="139" t="e">
        <f t="shared" ca="1" si="10"/>
        <v>#REF!</v>
      </c>
      <c r="I245" s="137" t="e">
        <f t="shared" ca="1" si="11"/>
        <v>#REF!</v>
      </c>
    </row>
    <row r="246" spans="1:9" hidden="1" x14ac:dyDescent="0.25">
      <c r="A246" s="114" t="s">
        <v>503</v>
      </c>
      <c r="B246" s="115" t="s">
        <v>1829</v>
      </c>
      <c r="C246" s="116" t="s">
        <v>94</v>
      </c>
      <c r="D246" s="116">
        <v>0</v>
      </c>
      <c r="E246" s="136">
        <f ca="1">OFFSET(INDEX(Composições!A:J,MATCH(Orçamentária!A246,Composições!A:A,0),8),2,0)</f>
        <v>23.195679750000007</v>
      </c>
      <c r="F246" s="137">
        <f t="shared" ca="1" si="9"/>
        <v>0</v>
      </c>
      <c r="G246" s="138" t="e">
        <f>IF(A246&lt;&gt;"",IF(AND(#REF!="Padrão",$H$4=#REF!),BDI!$B$17,IF(AND(#REF!="Padrão",$H$4=#REF!),BDI!#REF!,IF(AND(#REF!="Diferenciado",$H$4=#REF!),BDI!$E$17,IF(AND(#REF!="Diferenciado",$H$4=#REF!),BDI!#REF!,IF(#REF!="ZERO",0))))),"")</f>
        <v>#REF!</v>
      </c>
      <c r="H246" s="139" t="e">
        <f t="shared" ca="1" si="10"/>
        <v>#REF!</v>
      </c>
      <c r="I246" s="137" t="e">
        <f t="shared" ca="1" si="11"/>
        <v>#REF!</v>
      </c>
    </row>
    <row r="247" spans="1:9" hidden="1" x14ac:dyDescent="0.25">
      <c r="A247" s="114" t="s">
        <v>506</v>
      </c>
      <c r="B247" s="115" t="s">
        <v>1830</v>
      </c>
      <c r="C247" s="116" t="s">
        <v>94</v>
      </c>
      <c r="D247" s="116">
        <v>0</v>
      </c>
      <c r="E247" s="136">
        <f ca="1">OFFSET(INDEX(Composições!A:J,MATCH(Orçamentária!A247,Composições!A:A,0),8),2,0)</f>
        <v>23.195679750000007</v>
      </c>
      <c r="F247" s="137">
        <f t="shared" ca="1" si="9"/>
        <v>0</v>
      </c>
      <c r="G247" s="138" t="e">
        <f>IF(A247&lt;&gt;"",IF(AND(#REF!="Padrão",$H$4=#REF!),BDI!$B$17,IF(AND(#REF!="Padrão",$H$4=#REF!),BDI!#REF!,IF(AND(#REF!="Diferenciado",$H$4=#REF!),BDI!$E$17,IF(AND(#REF!="Diferenciado",$H$4=#REF!),BDI!#REF!,IF(#REF!="ZERO",0))))),"")</f>
        <v>#REF!</v>
      </c>
      <c r="H247" s="139" t="e">
        <f t="shared" ca="1" si="10"/>
        <v>#REF!</v>
      </c>
      <c r="I247" s="137" t="e">
        <f t="shared" ca="1" si="11"/>
        <v>#REF!</v>
      </c>
    </row>
    <row r="248" spans="1:9" hidden="1" x14ac:dyDescent="0.25">
      <c r="A248" s="114" t="s">
        <v>510</v>
      </c>
      <c r="B248" s="115" t="s">
        <v>1831</v>
      </c>
      <c r="C248" s="116" t="s">
        <v>94</v>
      </c>
      <c r="D248" s="116">
        <v>0</v>
      </c>
      <c r="E248" s="136">
        <f ca="1">OFFSET(INDEX(Composições!A:J,MATCH(Orçamentária!A248,Composições!A:A,0),8),2,0)</f>
        <v>19.042270250000001</v>
      </c>
      <c r="F248" s="137">
        <f t="shared" ca="1" si="9"/>
        <v>0</v>
      </c>
      <c r="G248" s="138" t="e">
        <f>IF(A248&lt;&gt;"",IF(AND(#REF!="Padrão",$H$4=#REF!),BDI!$B$17,IF(AND(#REF!="Padrão",$H$4=#REF!),BDI!#REF!,IF(AND(#REF!="Diferenciado",$H$4=#REF!),BDI!$E$17,IF(AND(#REF!="Diferenciado",$H$4=#REF!),BDI!#REF!,IF(#REF!="ZERO",0))))),"")</f>
        <v>#REF!</v>
      </c>
      <c r="H248" s="139" t="e">
        <f t="shared" ca="1" si="10"/>
        <v>#REF!</v>
      </c>
      <c r="I248" s="137" t="e">
        <f t="shared" ca="1" si="11"/>
        <v>#REF!</v>
      </c>
    </row>
    <row r="249" spans="1:9" hidden="1" x14ac:dyDescent="0.25">
      <c r="A249" s="114" t="s">
        <v>514</v>
      </c>
      <c r="B249" s="115" t="s">
        <v>1832</v>
      </c>
      <c r="C249" s="116" t="s">
        <v>94</v>
      </c>
      <c r="D249" s="116">
        <v>0</v>
      </c>
      <c r="E249" s="136">
        <f ca="1">OFFSET(INDEX(Composições!A:J,MATCH(Orçamentária!A249,Composições!A:A,0),8),2,0)</f>
        <v>19.838094434220004</v>
      </c>
      <c r="F249" s="137">
        <f t="shared" ca="1" si="9"/>
        <v>0</v>
      </c>
      <c r="G249" s="138" t="e">
        <f>IF(A249&lt;&gt;"",IF(AND(#REF!="Padrão",$H$4=#REF!),BDI!$B$17,IF(AND(#REF!="Padrão",$H$4=#REF!),BDI!#REF!,IF(AND(#REF!="Diferenciado",$H$4=#REF!),BDI!$E$17,IF(AND(#REF!="Diferenciado",$H$4=#REF!),BDI!#REF!,IF(#REF!="ZERO",0))))),"")</f>
        <v>#REF!</v>
      </c>
      <c r="H249" s="139" t="e">
        <f t="shared" ca="1" si="10"/>
        <v>#REF!</v>
      </c>
      <c r="I249" s="137" t="e">
        <f t="shared" ca="1" si="11"/>
        <v>#REF!</v>
      </c>
    </row>
    <row r="250" spans="1:9" hidden="1" x14ac:dyDescent="0.25">
      <c r="A250" s="114" t="s">
        <v>518</v>
      </c>
      <c r="B250" s="115" t="s">
        <v>1833</v>
      </c>
      <c r="C250" s="116" t="s">
        <v>94</v>
      </c>
      <c r="D250" s="116">
        <v>0</v>
      </c>
      <c r="E250" s="136">
        <f ca="1">OFFSET(INDEX(Composições!A:J,MATCH(Orçamentária!A250,Composições!A:A,0),8),2,0)</f>
        <v>17.474052132840001</v>
      </c>
      <c r="F250" s="137">
        <f t="shared" ca="1" si="9"/>
        <v>0</v>
      </c>
      <c r="G250" s="138" t="e">
        <f>IF(A250&lt;&gt;"",IF(AND(#REF!="Padrão",$H$4=#REF!),BDI!$B$17,IF(AND(#REF!="Padrão",$H$4=#REF!),BDI!#REF!,IF(AND(#REF!="Diferenciado",$H$4=#REF!),BDI!$E$17,IF(AND(#REF!="Diferenciado",$H$4=#REF!),BDI!#REF!,IF(#REF!="ZERO",0))))),"")</f>
        <v>#REF!</v>
      </c>
      <c r="H250" s="139" t="e">
        <f t="shared" ca="1" si="10"/>
        <v>#REF!</v>
      </c>
      <c r="I250" s="137" t="e">
        <f t="shared" ca="1" si="11"/>
        <v>#REF!</v>
      </c>
    </row>
    <row r="251" spans="1:9" hidden="1" x14ac:dyDescent="0.25">
      <c r="A251" s="114" t="s">
        <v>521</v>
      </c>
      <c r="B251" s="115" t="s">
        <v>1834</v>
      </c>
      <c r="C251" s="116" t="s">
        <v>94</v>
      </c>
      <c r="D251" s="116">
        <v>0</v>
      </c>
      <c r="E251" s="136">
        <f ca="1">OFFSET(INDEX(Composições!A:J,MATCH(Orçamentária!A251,Composições!A:A,0),8),2,0)</f>
        <v>15.353071230259999</v>
      </c>
      <c r="F251" s="137">
        <f t="shared" ca="1" si="9"/>
        <v>0</v>
      </c>
      <c r="G251" s="138" t="e">
        <f>IF(A251&lt;&gt;"",IF(AND(#REF!="Padrão",$H$4=#REF!),BDI!$B$17,IF(AND(#REF!="Padrão",$H$4=#REF!),BDI!#REF!,IF(AND(#REF!="Diferenciado",$H$4=#REF!),BDI!$E$17,IF(AND(#REF!="Diferenciado",$H$4=#REF!),BDI!#REF!,IF(#REF!="ZERO",0))))),"")</f>
        <v>#REF!</v>
      </c>
      <c r="H251" s="139" t="e">
        <f t="shared" ca="1" si="10"/>
        <v>#REF!</v>
      </c>
      <c r="I251" s="137" t="e">
        <f t="shared" ca="1" si="11"/>
        <v>#REF!</v>
      </c>
    </row>
    <row r="252" spans="1:9" hidden="1" x14ac:dyDescent="0.25">
      <c r="A252" s="114" t="s">
        <v>524</v>
      </c>
      <c r="B252" s="115" t="s">
        <v>1835</v>
      </c>
      <c r="C252" s="116" t="s">
        <v>94</v>
      </c>
      <c r="D252" s="116">
        <v>0</v>
      </c>
      <c r="E252" s="136">
        <f ca="1">OFFSET(INDEX(Composições!A:J,MATCH(Orçamentária!A252,Composições!A:A,0),8),2,0)</f>
        <v>22.99633903422</v>
      </c>
      <c r="F252" s="137">
        <f t="shared" ca="1" si="9"/>
        <v>0</v>
      </c>
      <c r="G252" s="138" t="e">
        <f>IF(A252&lt;&gt;"",IF(AND(#REF!="Padrão",$H$4=#REF!),BDI!$B$17,IF(AND(#REF!="Padrão",$H$4=#REF!),BDI!#REF!,IF(AND(#REF!="Diferenciado",$H$4=#REF!),BDI!$E$17,IF(AND(#REF!="Diferenciado",$H$4=#REF!),BDI!#REF!,IF(#REF!="ZERO",0))))),"")</f>
        <v>#REF!</v>
      </c>
      <c r="H252" s="139" t="e">
        <f t="shared" ca="1" si="10"/>
        <v>#REF!</v>
      </c>
      <c r="I252" s="137" t="e">
        <f t="shared" ca="1" si="11"/>
        <v>#REF!</v>
      </c>
    </row>
    <row r="253" spans="1:9" hidden="1" x14ac:dyDescent="0.25">
      <c r="A253" s="114" t="s">
        <v>529</v>
      </c>
      <c r="B253" s="115" t="s">
        <v>1836</v>
      </c>
      <c r="C253" s="116" t="s">
        <v>94</v>
      </c>
      <c r="D253" s="116">
        <v>0</v>
      </c>
      <c r="E253" s="136">
        <f ca="1">OFFSET(INDEX(Composições!A:J,MATCH(Orçamentária!A253,Composições!A:A,0),8),2,0)</f>
        <v>14.117969878939999</v>
      </c>
      <c r="F253" s="137">
        <f t="shared" ca="1" si="9"/>
        <v>0</v>
      </c>
      <c r="G253" s="138" t="e">
        <f>IF(A253&lt;&gt;"",IF(AND(#REF!="Padrão",$H$4=#REF!),BDI!$B$17,IF(AND(#REF!="Padrão",$H$4=#REF!),BDI!#REF!,IF(AND(#REF!="Diferenciado",$H$4=#REF!),BDI!$E$17,IF(AND(#REF!="Diferenciado",$H$4=#REF!),BDI!#REF!,IF(#REF!="ZERO",0))))),"")</f>
        <v>#REF!</v>
      </c>
      <c r="H253" s="139" t="e">
        <f t="shared" ca="1" si="10"/>
        <v>#REF!</v>
      </c>
      <c r="I253" s="137" t="e">
        <f t="shared" ca="1" si="11"/>
        <v>#REF!</v>
      </c>
    </row>
    <row r="254" spans="1:9" hidden="1" x14ac:dyDescent="0.25">
      <c r="A254" s="114" t="s">
        <v>532</v>
      </c>
      <c r="B254" s="115" t="s">
        <v>1837</v>
      </c>
      <c r="C254" s="116" t="s">
        <v>94</v>
      </c>
      <c r="D254" s="116">
        <v>0</v>
      </c>
      <c r="E254" s="136">
        <f ca="1">OFFSET(INDEX(Composições!A:J,MATCH(Orçamentária!A254,Composições!A:A,0),8),2,0)</f>
        <v>12.126313</v>
      </c>
      <c r="F254" s="137">
        <f t="shared" ca="1" si="9"/>
        <v>0</v>
      </c>
      <c r="G254" s="138" t="e">
        <f>IF(A254&lt;&gt;"",IF(AND(#REF!="Padrão",$H$4=#REF!),BDI!$B$17,IF(AND(#REF!="Padrão",$H$4=#REF!),BDI!#REF!,IF(AND(#REF!="Diferenciado",$H$4=#REF!),BDI!$E$17,IF(AND(#REF!="Diferenciado",$H$4=#REF!),BDI!#REF!,IF(#REF!="ZERO",0))))),"")</f>
        <v>#REF!</v>
      </c>
      <c r="H254" s="139" t="e">
        <f t="shared" ca="1" si="10"/>
        <v>#REF!</v>
      </c>
      <c r="I254" s="137" t="e">
        <f t="shared" ca="1" si="11"/>
        <v>#REF!</v>
      </c>
    </row>
    <row r="255" spans="1:9" hidden="1" x14ac:dyDescent="0.25">
      <c r="A255" s="114" t="s">
        <v>535</v>
      </c>
      <c r="B255" s="115" t="s">
        <v>1838</v>
      </c>
      <c r="C255" s="116" t="s">
        <v>94</v>
      </c>
      <c r="D255" s="116">
        <v>0</v>
      </c>
      <c r="E255" s="136">
        <f ca="1">OFFSET(INDEX(Composições!A:J,MATCH(Orçamentária!A255,Composições!A:A,0),8),2,0)</f>
        <v>8.3658330000000003</v>
      </c>
      <c r="F255" s="137">
        <f t="shared" ca="1" si="9"/>
        <v>0</v>
      </c>
      <c r="G255" s="138" t="e">
        <f>IF(A255&lt;&gt;"",IF(AND(#REF!="Padrão",$H$4=#REF!),BDI!$B$17,IF(AND(#REF!="Padrão",$H$4=#REF!),BDI!#REF!,IF(AND(#REF!="Diferenciado",$H$4=#REF!),BDI!$E$17,IF(AND(#REF!="Diferenciado",$H$4=#REF!),BDI!#REF!,IF(#REF!="ZERO",0))))),"")</f>
        <v>#REF!</v>
      </c>
      <c r="H255" s="139" t="e">
        <f t="shared" ca="1" si="10"/>
        <v>#REF!</v>
      </c>
      <c r="I255" s="137" t="e">
        <f t="shared" ca="1" si="11"/>
        <v>#REF!</v>
      </c>
    </row>
    <row r="256" spans="1:9" hidden="1" x14ac:dyDescent="0.25">
      <c r="A256" s="114" t="s">
        <v>537</v>
      </c>
      <c r="B256" s="115" t="s">
        <v>1839</v>
      </c>
      <c r="C256" s="116" t="s">
        <v>94</v>
      </c>
      <c r="D256" s="116">
        <v>0</v>
      </c>
      <c r="E256" s="136">
        <f ca="1">OFFSET(INDEX(Composições!A:J,MATCH(Orçamentária!A256,Composições!A:A,0),8),2,0)</f>
        <v>19.441465000000001</v>
      </c>
      <c r="F256" s="137">
        <f t="shared" ca="1" si="9"/>
        <v>0</v>
      </c>
      <c r="G256" s="138" t="e">
        <f>IF(A256&lt;&gt;"",IF(AND(#REF!="Padrão",$H$4=#REF!),BDI!$B$17,IF(AND(#REF!="Padrão",$H$4=#REF!),BDI!#REF!,IF(AND(#REF!="Diferenciado",$H$4=#REF!),BDI!$E$17,IF(AND(#REF!="Diferenciado",$H$4=#REF!),BDI!#REF!,IF(#REF!="ZERO",0))))),"")</f>
        <v>#REF!</v>
      </c>
      <c r="H256" s="139" t="e">
        <f t="shared" ca="1" si="10"/>
        <v>#REF!</v>
      </c>
      <c r="I256" s="137" t="e">
        <f t="shared" ca="1" si="11"/>
        <v>#REF!</v>
      </c>
    </row>
    <row r="257" spans="1:9" hidden="1" x14ac:dyDescent="0.25">
      <c r="A257" s="114" t="s">
        <v>539</v>
      </c>
      <c r="B257" s="115" t="s">
        <v>1840</v>
      </c>
      <c r="C257" s="116" t="s">
        <v>94</v>
      </c>
      <c r="D257" s="116">
        <v>0</v>
      </c>
      <c r="E257" s="136">
        <f ca="1">OFFSET(INDEX(Composições!A:J,MATCH(Orçamentária!A257,Composições!A:A,0),8),2,0)</f>
        <v>15.039767299999999</v>
      </c>
      <c r="F257" s="137">
        <f t="shared" ca="1" si="9"/>
        <v>0</v>
      </c>
      <c r="G257" s="138" t="e">
        <f>IF(A257&lt;&gt;"",IF(AND(#REF!="Padrão",$H$4=#REF!),BDI!$B$17,IF(AND(#REF!="Padrão",$H$4=#REF!),BDI!#REF!,IF(AND(#REF!="Diferenciado",$H$4=#REF!),BDI!$E$17,IF(AND(#REF!="Diferenciado",$H$4=#REF!),BDI!#REF!,IF(#REF!="ZERO",0))))),"")</f>
        <v>#REF!</v>
      </c>
      <c r="H257" s="139" t="e">
        <f t="shared" ca="1" si="10"/>
        <v>#REF!</v>
      </c>
      <c r="I257" s="137" t="e">
        <f t="shared" ca="1" si="11"/>
        <v>#REF!</v>
      </c>
    </row>
    <row r="258" spans="1:9" hidden="1" x14ac:dyDescent="0.25">
      <c r="A258" s="114" t="s">
        <v>541</v>
      </c>
      <c r="B258" s="115" t="s">
        <v>1841</v>
      </c>
      <c r="C258" s="116" t="s">
        <v>94</v>
      </c>
      <c r="D258" s="116">
        <v>0</v>
      </c>
      <c r="E258" s="136">
        <f ca="1">OFFSET(INDEX(Composições!A:J,MATCH(Orçamentária!A258,Composições!A:A,0),8),2,0)</f>
        <v>19.528955249999999</v>
      </c>
      <c r="F258" s="137">
        <f t="shared" ca="1" si="9"/>
        <v>0</v>
      </c>
      <c r="G258" s="138" t="e">
        <f>IF(A258&lt;&gt;"",IF(AND(#REF!="Padrão",$H$4=#REF!),BDI!$B$17,IF(AND(#REF!="Padrão",$H$4=#REF!),BDI!#REF!,IF(AND(#REF!="Diferenciado",$H$4=#REF!),BDI!$E$17,IF(AND(#REF!="Diferenciado",$H$4=#REF!),BDI!#REF!,IF(#REF!="ZERO",0))))),"")</f>
        <v>#REF!</v>
      </c>
      <c r="H258" s="139" t="e">
        <f t="shared" ca="1" si="10"/>
        <v>#REF!</v>
      </c>
      <c r="I258" s="137" t="e">
        <f t="shared" ca="1" si="11"/>
        <v>#REF!</v>
      </c>
    </row>
    <row r="259" spans="1:9" hidden="1" x14ac:dyDescent="0.25">
      <c r="A259" s="114" t="s">
        <v>546</v>
      </c>
      <c r="B259" s="115" t="s">
        <v>1842</v>
      </c>
      <c r="C259" s="116" t="s">
        <v>20</v>
      </c>
      <c r="D259" s="116">
        <v>0</v>
      </c>
      <c r="E259" s="136">
        <f ca="1">OFFSET(INDEX(Composições!A:J,MATCH(Orçamentária!A259,Composições!A:A,0),8),2,0)</f>
        <v>5.6075839999999992</v>
      </c>
      <c r="F259" s="137">
        <f t="shared" ca="1" si="9"/>
        <v>0</v>
      </c>
      <c r="G259" s="138" t="e">
        <f>IF(A259&lt;&gt;"",IF(AND(#REF!="Padrão",$H$4=#REF!),BDI!$B$17,IF(AND(#REF!="Padrão",$H$4=#REF!),BDI!#REF!,IF(AND(#REF!="Diferenciado",$H$4=#REF!),BDI!$E$17,IF(AND(#REF!="Diferenciado",$H$4=#REF!),BDI!#REF!,IF(#REF!="ZERO",0))))),"")</f>
        <v>#REF!</v>
      </c>
      <c r="H259" s="139" t="e">
        <f t="shared" ca="1" si="10"/>
        <v>#REF!</v>
      </c>
      <c r="I259" s="137" t="e">
        <f t="shared" ca="1" si="11"/>
        <v>#REF!</v>
      </c>
    </row>
    <row r="260" spans="1:9" hidden="1" x14ac:dyDescent="0.25">
      <c r="A260" s="114" t="s">
        <v>549</v>
      </c>
      <c r="B260" s="115" t="s">
        <v>1843</v>
      </c>
      <c r="C260" s="116" t="s">
        <v>20</v>
      </c>
      <c r="D260" s="116">
        <v>0</v>
      </c>
      <c r="E260" s="136">
        <f ca="1">OFFSET(INDEX(Composições!A:J,MATCH(Orçamentária!A260,Composições!A:A,0),8),2,0)</f>
        <v>9.2413720000000001</v>
      </c>
      <c r="F260" s="137">
        <f t="shared" ca="1" si="9"/>
        <v>0</v>
      </c>
      <c r="G260" s="138" t="e">
        <f>IF(A260&lt;&gt;"",IF(AND(#REF!="Padrão",$H$4=#REF!),BDI!$B$17,IF(AND(#REF!="Padrão",$H$4=#REF!),BDI!#REF!,IF(AND(#REF!="Diferenciado",$H$4=#REF!),BDI!$E$17,IF(AND(#REF!="Diferenciado",$H$4=#REF!),BDI!#REF!,IF(#REF!="ZERO",0))))),"")</f>
        <v>#REF!</v>
      </c>
      <c r="H260" s="139" t="e">
        <f t="shared" ca="1" si="10"/>
        <v>#REF!</v>
      </c>
      <c r="I260" s="137" t="e">
        <f t="shared" ca="1" si="11"/>
        <v>#REF!</v>
      </c>
    </row>
    <row r="261" spans="1:9" hidden="1" x14ac:dyDescent="0.25">
      <c r="A261" s="114" t="s">
        <v>552</v>
      </c>
      <c r="B261" s="115" t="s">
        <v>553</v>
      </c>
      <c r="C261" s="116" t="s">
        <v>20</v>
      </c>
      <c r="D261" s="116">
        <v>0</v>
      </c>
      <c r="E261" s="136">
        <f ca="1">OFFSET(INDEX(Composições!A:J,MATCH(Orçamentária!A261,Composições!A:A,0),8),2,0)</f>
        <v>4.3583720000000001</v>
      </c>
      <c r="F261" s="137">
        <f t="shared" ca="1" si="9"/>
        <v>0</v>
      </c>
      <c r="G261" s="138" t="e">
        <f>IF(A261&lt;&gt;"",IF(AND(#REF!="Padrão",$H$4=#REF!),BDI!$B$17,IF(AND(#REF!="Padrão",$H$4=#REF!),BDI!#REF!,IF(AND(#REF!="Diferenciado",$H$4=#REF!),BDI!$E$17,IF(AND(#REF!="Diferenciado",$H$4=#REF!),BDI!#REF!,IF(#REF!="ZERO",0))))),"")</f>
        <v>#REF!</v>
      </c>
      <c r="H261" s="139" t="e">
        <f t="shared" ca="1" si="10"/>
        <v>#REF!</v>
      </c>
      <c r="I261" s="137" t="e">
        <f t="shared" ca="1" si="11"/>
        <v>#REF!</v>
      </c>
    </row>
    <row r="262" spans="1:9" hidden="1" x14ac:dyDescent="0.25">
      <c r="A262" s="114" t="s">
        <v>554</v>
      </c>
      <c r="B262" s="115" t="s">
        <v>1844</v>
      </c>
      <c r="C262" s="116" t="s">
        <v>20</v>
      </c>
      <c r="D262" s="116">
        <v>0</v>
      </c>
      <c r="E262" s="136">
        <f ca="1">OFFSET(INDEX(Composições!A:J,MATCH(Orçamentária!A262,Composições!A:A,0),8),2,0)</f>
        <v>5.9451000000000001</v>
      </c>
      <c r="F262" s="137">
        <f t="shared" ca="1" si="9"/>
        <v>0</v>
      </c>
      <c r="G262" s="138" t="e">
        <f>IF(A262&lt;&gt;"",IF(AND(#REF!="Padrão",$H$4=#REF!),BDI!$B$17,IF(AND(#REF!="Padrão",$H$4=#REF!),BDI!#REF!,IF(AND(#REF!="Diferenciado",$H$4=#REF!),BDI!$E$17,IF(AND(#REF!="Diferenciado",$H$4=#REF!),BDI!#REF!,IF(#REF!="ZERO",0))))),"")</f>
        <v>#REF!</v>
      </c>
      <c r="H262" s="139" t="e">
        <f t="shared" ca="1" si="10"/>
        <v>#REF!</v>
      </c>
      <c r="I262" s="137" t="e">
        <f t="shared" ca="1" si="11"/>
        <v>#REF!</v>
      </c>
    </row>
    <row r="263" spans="1:9" hidden="1" x14ac:dyDescent="0.25">
      <c r="A263" s="114" t="s">
        <v>557</v>
      </c>
      <c r="B263" s="115" t="s">
        <v>558</v>
      </c>
      <c r="C263" s="116" t="s">
        <v>20</v>
      </c>
      <c r="D263" s="116">
        <v>0</v>
      </c>
      <c r="E263" s="136">
        <f ca="1">OFFSET(INDEX(Composições!A:J,MATCH(Orçamentária!A263,Composições!A:A,0),8),2,0)</f>
        <v>2.2268000000000003</v>
      </c>
      <c r="F263" s="137">
        <f t="shared" ref="F263:F326" ca="1" si="12">IF(ISNUMBER(E263),D263*E263,"")</f>
        <v>0</v>
      </c>
      <c r="G263" s="138" t="e">
        <f>IF(A263&lt;&gt;"",IF(AND(#REF!="Padrão",$H$4=#REF!),BDI!$B$17,IF(AND(#REF!="Padrão",$H$4=#REF!),BDI!#REF!,IF(AND(#REF!="Diferenciado",$H$4=#REF!),BDI!$E$17,IF(AND(#REF!="Diferenciado",$H$4=#REF!),BDI!#REF!,IF(#REF!="ZERO",0))))),"")</f>
        <v>#REF!</v>
      </c>
      <c r="H263" s="139" t="e">
        <f t="shared" ref="H263:H326" ca="1" si="13">IF(ISNUMBER(E263),ROUND(E263*(1+G263),2),"")</f>
        <v>#REF!</v>
      </c>
      <c r="I263" s="137" t="e">
        <f t="shared" ref="I263:I326" ca="1" si="14">IF(ISNUMBER(E263),ROUND(H263*D263,2),"")</f>
        <v>#REF!</v>
      </c>
    </row>
    <row r="264" spans="1:9" hidden="1" x14ac:dyDescent="0.25">
      <c r="A264" s="114" t="s">
        <v>559</v>
      </c>
      <c r="B264" s="115" t="s">
        <v>1845</v>
      </c>
      <c r="C264" s="116" t="s">
        <v>20</v>
      </c>
      <c r="D264" s="116">
        <v>0</v>
      </c>
      <c r="E264" s="136">
        <f ca="1">OFFSET(INDEX(Composições!A:J,MATCH(Orçamentária!A264,Composições!A:A,0),8),2,0)</f>
        <v>19.598272000000001</v>
      </c>
      <c r="F264" s="137">
        <f t="shared" ca="1" si="12"/>
        <v>0</v>
      </c>
      <c r="G264" s="138" t="e">
        <f>IF(A264&lt;&gt;"",IF(AND(#REF!="Padrão",$H$4=#REF!),BDI!$B$17,IF(AND(#REF!="Padrão",$H$4=#REF!),BDI!#REF!,IF(AND(#REF!="Diferenciado",$H$4=#REF!),BDI!$E$17,IF(AND(#REF!="Diferenciado",$H$4=#REF!),BDI!#REF!,IF(#REF!="ZERO",0))))),"")</f>
        <v>#REF!</v>
      </c>
      <c r="H264" s="139" t="e">
        <f t="shared" ca="1" si="13"/>
        <v>#REF!</v>
      </c>
      <c r="I264" s="137" t="e">
        <f t="shared" ca="1" si="14"/>
        <v>#REF!</v>
      </c>
    </row>
    <row r="265" spans="1:9" hidden="1" x14ac:dyDescent="0.25">
      <c r="A265" s="114" t="s">
        <v>561</v>
      </c>
      <c r="B265" s="115" t="s">
        <v>1846</v>
      </c>
      <c r="C265" s="116" t="s">
        <v>20</v>
      </c>
      <c r="D265" s="116">
        <v>0</v>
      </c>
      <c r="E265" s="136">
        <f ca="1">OFFSET(INDEX(Composições!A:J,MATCH(Orçamentária!A265,Composições!A:A,0),8),2,0)</f>
        <v>14.58915</v>
      </c>
      <c r="F265" s="137">
        <f t="shared" ca="1" si="12"/>
        <v>0</v>
      </c>
      <c r="G265" s="138" t="e">
        <f>IF(A265&lt;&gt;"",IF(AND(#REF!="Padrão",$H$4=#REF!),BDI!$B$17,IF(AND(#REF!="Padrão",$H$4=#REF!),BDI!#REF!,IF(AND(#REF!="Diferenciado",$H$4=#REF!),BDI!$E$17,IF(AND(#REF!="Diferenciado",$H$4=#REF!),BDI!#REF!,IF(#REF!="ZERO",0))))),"")</f>
        <v>#REF!</v>
      </c>
      <c r="H265" s="139" t="e">
        <f t="shared" ca="1" si="13"/>
        <v>#REF!</v>
      </c>
      <c r="I265" s="137" t="e">
        <f t="shared" ca="1" si="14"/>
        <v>#REF!</v>
      </c>
    </row>
    <row r="266" spans="1:9" hidden="1" x14ac:dyDescent="0.25">
      <c r="A266" s="114" t="s">
        <v>563</v>
      </c>
      <c r="B266" s="115" t="s">
        <v>564</v>
      </c>
      <c r="C266" s="116" t="s">
        <v>20</v>
      </c>
      <c r="D266" s="116">
        <v>0</v>
      </c>
      <c r="E266" s="136">
        <f ca="1">OFFSET(INDEX(Composições!A:J,MATCH(Orçamentária!A266,Composições!A:A,0),8),2,0)</f>
        <v>2.2268000000000003</v>
      </c>
      <c r="F266" s="137">
        <f t="shared" ca="1" si="12"/>
        <v>0</v>
      </c>
      <c r="G266" s="138" t="e">
        <f>IF(A266&lt;&gt;"",IF(AND(#REF!="Padrão",$H$4=#REF!),BDI!$B$17,IF(AND(#REF!="Padrão",$H$4=#REF!),BDI!#REF!,IF(AND(#REF!="Diferenciado",$H$4=#REF!),BDI!$E$17,IF(AND(#REF!="Diferenciado",$H$4=#REF!),BDI!#REF!,IF(#REF!="ZERO",0))))),"")</f>
        <v>#REF!</v>
      </c>
      <c r="H266" s="139" t="e">
        <f t="shared" ca="1" si="13"/>
        <v>#REF!</v>
      </c>
      <c r="I266" s="137" t="e">
        <f t="shared" ca="1" si="14"/>
        <v>#REF!</v>
      </c>
    </row>
    <row r="267" spans="1:9" hidden="1" x14ac:dyDescent="0.25">
      <c r="A267" s="114" t="s">
        <v>565</v>
      </c>
      <c r="B267" s="115" t="s">
        <v>566</v>
      </c>
      <c r="C267" s="116" t="s">
        <v>20</v>
      </c>
      <c r="D267" s="116">
        <v>0</v>
      </c>
      <c r="E267" s="136">
        <f ca="1">OFFSET(INDEX(Composições!A:J,MATCH(Orçamentária!A267,Composições!A:A,0),8),2,0)</f>
        <v>12.207272</v>
      </c>
      <c r="F267" s="137">
        <f t="shared" ca="1" si="12"/>
        <v>0</v>
      </c>
      <c r="G267" s="138" t="e">
        <f>IF(A267&lt;&gt;"",IF(AND(#REF!="Padrão",$H$4=#REF!),BDI!$B$17,IF(AND(#REF!="Padrão",$H$4=#REF!),BDI!#REF!,IF(AND(#REF!="Diferenciado",$H$4=#REF!),BDI!$E$17,IF(AND(#REF!="Diferenciado",$H$4=#REF!),BDI!#REF!,IF(#REF!="ZERO",0))))),"")</f>
        <v>#REF!</v>
      </c>
      <c r="H267" s="139" t="e">
        <f t="shared" ca="1" si="13"/>
        <v>#REF!</v>
      </c>
      <c r="I267" s="137" t="e">
        <f t="shared" ca="1" si="14"/>
        <v>#REF!</v>
      </c>
    </row>
    <row r="268" spans="1:9" hidden="1" x14ac:dyDescent="0.25">
      <c r="A268" s="114" t="s">
        <v>567</v>
      </c>
      <c r="B268" s="115" t="s">
        <v>1847</v>
      </c>
      <c r="C268" s="116" t="s">
        <v>20</v>
      </c>
      <c r="D268" s="116">
        <v>0</v>
      </c>
      <c r="E268" s="136">
        <f ca="1">OFFSET(INDEX(Composições!A:J,MATCH(Orçamentária!A268,Composições!A:A,0),8),2,0)</f>
        <v>15.77399</v>
      </c>
      <c r="F268" s="137">
        <f t="shared" ca="1" si="12"/>
        <v>0</v>
      </c>
      <c r="G268" s="138" t="e">
        <f>IF(A268&lt;&gt;"",IF(AND(#REF!="Padrão",$H$4=#REF!),BDI!$B$17,IF(AND(#REF!="Padrão",$H$4=#REF!),BDI!#REF!,IF(AND(#REF!="Diferenciado",$H$4=#REF!),BDI!$E$17,IF(AND(#REF!="Diferenciado",$H$4=#REF!),BDI!#REF!,IF(#REF!="ZERO",0))))),"")</f>
        <v>#REF!</v>
      </c>
      <c r="H268" s="139" t="e">
        <f t="shared" ca="1" si="13"/>
        <v>#REF!</v>
      </c>
      <c r="I268" s="137" t="e">
        <f t="shared" ca="1" si="14"/>
        <v>#REF!</v>
      </c>
    </row>
    <row r="269" spans="1:9" hidden="1" x14ac:dyDescent="0.25">
      <c r="A269" s="114" t="s">
        <v>569</v>
      </c>
      <c r="B269" s="115" t="s">
        <v>1848</v>
      </c>
      <c r="C269" s="116" t="s">
        <v>20</v>
      </c>
      <c r="D269" s="116">
        <v>0</v>
      </c>
      <c r="E269" s="136">
        <f ca="1">OFFSET(INDEX(Composições!A:J,MATCH(Orçamentária!A269,Composições!A:A,0),8),2,0)</f>
        <v>17.578989999999997</v>
      </c>
      <c r="F269" s="137">
        <f t="shared" ca="1" si="12"/>
        <v>0</v>
      </c>
      <c r="G269" s="138" t="e">
        <f>IF(A269&lt;&gt;"",IF(AND(#REF!="Padrão",$H$4=#REF!),BDI!$B$17,IF(AND(#REF!="Padrão",$H$4=#REF!),BDI!#REF!,IF(AND(#REF!="Diferenciado",$H$4=#REF!),BDI!$E$17,IF(AND(#REF!="Diferenciado",$H$4=#REF!),BDI!#REF!,IF(#REF!="ZERO",0))))),"")</f>
        <v>#REF!</v>
      </c>
      <c r="H269" s="139" t="e">
        <f t="shared" ca="1" si="13"/>
        <v>#REF!</v>
      </c>
      <c r="I269" s="137" t="e">
        <f t="shared" ca="1" si="14"/>
        <v>#REF!</v>
      </c>
    </row>
    <row r="270" spans="1:9" hidden="1" x14ac:dyDescent="0.25">
      <c r="A270" s="114" t="s">
        <v>571</v>
      </c>
      <c r="B270" s="115" t="s">
        <v>573</v>
      </c>
      <c r="C270" s="116" t="s">
        <v>20</v>
      </c>
      <c r="D270" s="116">
        <v>0</v>
      </c>
      <c r="E270" s="136">
        <f ca="1">OFFSET(INDEX(Composições!A:J,MATCH(Orçamentária!A270,Composições!A:A,0),8),2,0)</f>
        <v>6.9359500000000001</v>
      </c>
      <c r="F270" s="137">
        <f t="shared" ca="1" si="12"/>
        <v>0</v>
      </c>
      <c r="G270" s="138" t="e">
        <f>IF(A270&lt;&gt;"",IF(AND(#REF!="Padrão",$H$4=#REF!),BDI!$B$17,IF(AND(#REF!="Padrão",$H$4=#REF!),BDI!#REF!,IF(AND(#REF!="Diferenciado",$H$4=#REF!),BDI!$E$17,IF(AND(#REF!="Diferenciado",$H$4=#REF!),BDI!#REF!,IF(#REF!="ZERO",0))))),"")</f>
        <v>#REF!</v>
      </c>
      <c r="H270" s="139" t="e">
        <f t="shared" ca="1" si="13"/>
        <v>#REF!</v>
      </c>
      <c r="I270" s="137" t="e">
        <f t="shared" ca="1" si="14"/>
        <v>#REF!</v>
      </c>
    </row>
    <row r="271" spans="1:9" hidden="1" x14ac:dyDescent="0.25">
      <c r="A271" s="114" t="s">
        <v>574</v>
      </c>
      <c r="B271" s="115" t="s">
        <v>1849</v>
      </c>
      <c r="C271" s="116" t="s">
        <v>20</v>
      </c>
      <c r="D271" s="116">
        <v>0</v>
      </c>
      <c r="E271" s="136">
        <f ca="1">OFFSET(INDEX(Composições!A:J,MATCH(Orçamentária!A271,Composições!A:A,0),8),2,0)</f>
        <v>1.7366000000000001</v>
      </c>
      <c r="F271" s="137">
        <f t="shared" ca="1" si="12"/>
        <v>0</v>
      </c>
      <c r="G271" s="138" t="e">
        <f>IF(A271&lt;&gt;"",IF(AND(#REF!="Padrão",$H$4=#REF!),BDI!$B$17,IF(AND(#REF!="Padrão",$H$4=#REF!),BDI!#REF!,IF(AND(#REF!="Diferenciado",$H$4=#REF!),BDI!$E$17,IF(AND(#REF!="Diferenciado",$H$4=#REF!),BDI!#REF!,IF(#REF!="ZERO",0))))),"")</f>
        <v>#REF!</v>
      </c>
      <c r="H271" s="139" t="e">
        <f t="shared" ca="1" si="13"/>
        <v>#REF!</v>
      </c>
      <c r="I271" s="137" t="e">
        <f t="shared" ca="1" si="14"/>
        <v>#REF!</v>
      </c>
    </row>
    <row r="272" spans="1:9" hidden="1" x14ac:dyDescent="0.25">
      <c r="A272" s="114" t="s">
        <v>576</v>
      </c>
      <c r="B272" s="115" t="s">
        <v>1850</v>
      </c>
      <c r="C272" s="116" t="s">
        <v>20</v>
      </c>
      <c r="D272" s="116">
        <v>0</v>
      </c>
      <c r="E272" s="136">
        <f ca="1">OFFSET(INDEX(Composições!A:J,MATCH(Orçamentária!A272,Composições!A:A,0),8),2,0)</f>
        <v>1.7366000000000001</v>
      </c>
      <c r="F272" s="137">
        <f t="shared" ca="1" si="12"/>
        <v>0</v>
      </c>
      <c r="G272" s="138" t="e">
        <f>IF(A272&lt;&gt;"",IF(AND(#REF!="Padrão",$H$4=#REF!),BDI!$B$17,IF(AND(#REF!="Padrão",$H$4=#REF!),BDI!#REF!,IF(AND(#REF!="Diferenciado",$H$4=#REF!),BDI!$E$17,IF(AND(#REF!="Diferenciado",$H$4=#REF!),BDI!#REF!,IF(#REF!="ZERO",0))))),"")</f>
        <v>#REF!</v>
      </c>
      <c r="H272" s="139" t="e">
        <f t="shared" ca="1" si="13"/>
        <v>#REF!</v>
      </c>
      <c r="I272" s="137" t="e">
        <f t="shared" ca="1" si="14"/>
        <v>#REF!</v>
      </c>
    </row>
    <row r="273" spans="1:9" hidden="1" x14ac:dyDescent="0.25">
      <c r="A273" s="114" t="s">
        <v>578</v>
      </c>
      <c r="B273" s="115" t="s">
        <v>1851</v>
      </c>
      <c r="C273" s="116" t="s">
        <v>20</v>
      </c>
      <c r="D273" s="116">
        <v>0</v>
      </c>
      <c r="E273" s="136">
        <f ca="1">OFFSET(INDEX(Composições!A:J,MATCH(Orçamentária!A273,Composições!A:A,0),8),2,0)</f>
        <v>2.6048999999999998</v>
      </c>
      <c r="F273" s="137">
        <f t="shared" ca="1" si="12"/>
        <v>0</v>
      </c>
      <c r="G273" s="138" t="e">
        <f>IF(A273&lt;&gt;"",IF(AND(#REF!="Padrão",$H$4=#REF!),BDI!$B$17,IF(AND(#REF!="Padrão",$H$4=#REF!),BDI!#REF!,IF(AND(#REF!="Diferenciado",$H$4=#REF!),BDI!$E$17,IF(AND(#REF!="Diferenciado",$H$4=#REF!),BDI!#REF!,IF(#REF!="ZERO",0))))),"")</f>
        <v>#REF!</v>
      </c>
      <c r="H273" s="139" t="e">
        <f t="shared" ca="1" si="13"/>
        <v>#REF!</v>
      </c>
      <c r="I273" s="137" t="e">
        <f t="shared" ca="1" si="14"/>
        <v>#REF!</v>
      </c>
    </row>
    <row r="274" spans="1:9" hidden="1" x14ac:dyDescent="0.25">
      <c r="A274" s="114" t="s">
        <v>580</v>
      </c>
      <c r="B274" s="115" t="s">
        <v>1852</v>
      </c>
      <c r="C274" s="116" t="s">
        <v>20</v>
      </c>
      <c r="D274" s="116">
        <v>0</v>
      </c>
      <c r="E274" s="136">
        <f ca="1">OFFSET(INDEX(Composições!A:J,MATCH(Orçamentária!A274,Composições!A:A,0),8),2,0)</f>
        <v>5.9451000000000001</v>
      </c>
      <c r="F274" s="137">
        <f t="shared" ca="1" si="12"/>
        <v>0</v>
      </c>
      <c r="G274" s="138" t="e">
        <f>IF(A274&lt;&gt;"",IF(AND(#REF!="Padrão",$H$4=#REF!),BDI!$B$17,IF(AND(#REF!="Padrão",$H$4=#REF!),BDI!#REF!,IF(AND(#REF!="Diferenciado",$H$4=#REF!),BDI!$E$17,IF(AND(#REF!="Diferenciado",$H$4=#REF!),BDI!#REF!,IF(#REF!="ZERO",0))))),"")</f>
        <v>#REF!</v>
      </c>
      <c r="H274" s="139" t="e">
        <f t="shared" ca="1" si="13"/>
        <v>#REF!</v>
      </c>
      <c r="I274" s="137" t="e">
        <f t="shared" ca="1" si="14"/>
        <v>#REF!</v>
      </c>
    </row>
    <row r="275" spans="1:9" hidden="1" x14ac:dyDescent="0.25">
      <c r="A275" s="114" t="s">
        <v>582</v>
      </c>
      <c r="B275" s="115" t="s">
        <v>1853</v>
      </c>
      <c r="C275" s="116" t="s">
        <v>20</v>
      </c>
      <c r="D275" s="116">
        <v>0</v>
      </c>
      <c r="E275" s="136">
        <f ca="1">OFFSET(INDEX(Composições!A:J,MATCH(Orçamentária!A275,Composições!A:A,0),8),2,0)</f>
        <v>12.207272</v>
      </c>
      <c r="F275" s="137">
        <f t="shared" ca="1" si="12"/>
        <v>0</v>
      </c>
      <c r="G275" s="138" t="e">
        <f>IF(A275&lt;&gt;"",IF(AND(#REF!="Padrão",$H$4=#REF!),BDI!$B$17,IF(AND(#REF!="Padrão",$H$4=#REF!),BDI!#REF!,IF(AND(#REF!="Diferenciado",$H$4=#REF!),BDI!$E$17,IF(AND(#REF!="Diferenciado",$H$4=#REF!),BDI!#REF!,IF(#REF!="ZERO",0))))),"")</f>
        <v>#REF!</v>
      </c>
      <c r="H275" s="139" t="e">
        <f t="shared" ca="1" si="13"/>
        <v>#REF!</v>
      </c>
      <c r="I275" s="137" t="e">
        <f t="shared" ca="1" si="14"/>
        <v>#REF!</v>
      </c>
    </row>
    <row r="276" spans="1:9" hidden="1" x14ac:dyDescent="0.25">
      <c r="A276" s="114" t="s">
        <v>584</v>
      </c>
      <c r="B276" s="115" t="s">
        <v>1854</v>
      </c>
      <c r="C276" s="116" t="s">
        <v>20</v>
      </c>
      <c r="D276" s="116">
        <v>0</v>
      </c>
      <c r="E276" s="136">
        <f ca="1">OFFSET(INDEX(Composições!A:J,MATCH(Orçamentária!A276,Composições!A:A,0),8),2,0)</f>
        <v>26.712100000000003</v>
      </c>
      <c r="F276" s="137">
        <f t="shared" ca="1" si="12"/>
        <v>0</v>
      </c>
      <c r="G276" s="138" t="e">
        <f>IF(A276&lt;&gt;"",IF(AND(#REF!="Padrão",$H$4=#REF!),BDI!$B$17,IF(AND(#REF!="Padrão",$H$4=#REF!),BDI!#REF!,IF(AND(#REF!="Diferenciado",$H$4=#REF!),BDI!$E$17,IF(AND(#REF!="Diferenciado",$H$4=#REF!),BDI!#REF!,IF(#REF!="ZERO",0))))),"")</f>
        <v>#REF!</v>
      </c>
      <c r="H276" s="139" t="e">
        <f t="shared" ca="1" si="13"/>
        <v>#REF!</v>
      </c>
      <c r="I276" s="137" t="e">
        <f t="shared" ca="1" si="14"/>
        <v>#REF!</v>
      </c>
    </row>
    <row r="277" spans="1:9" hidden="1" x14ac:dyDescent="0.25">
      <c r="A277" s="114" t="s">
        <v>587</v>
      </c>
      <c r="B277" s="115" t="s">
        <v>1855</v>
      </c>
      <c r="C277" s="116" t="s">
        <v>20</v>
      </c>
      <c r="D277" s="116">
        <v>0</v>
      </c>
      <c r="E277" s="136">
        <f ca="1">OFFSET(INDEX(Composições!A:J,MATCH(Orçamentária!A277,Composições!A:A,0),8),2,0)</f>
        <v>5.2960828000000006</v>
      </c>
      <c r="F277" s="137">
        <f t="shared" ca="1" si="12"/>
        <v>0</v>
      </c>
      <c r="G277" s="138" t="e">
        <f>IF(A277&lt;&gt;"",IF(AND(#REF!="Padrão",$H$4=#REF!),BDI!$B$17,IF(AND(#REF!="Padrão",$H$4=#REF!),BDI!#REF!,IF(AND(#REF!="Diferenciado",$H$4=#REF!),BDI!$E$17,IF(AND(#REF!="Diferenciado",$H$4=#REF!),BDI!#REF!,IF(#REF!="ZERO",0))))),"")</f>
        <v>#REF!</v>
      </c>
      <c r="H277" s="139" t="e">
        <f t="shared" ca="1" si="13"/>
        <v>#REF!</v>
      </c>
      <c r="I277" s="137" t="e">
        <f t="shared" ca="1" si="14"/>
        <v>#REF!</v>
      </c>
    </row>
    <row r="278" spans="1:9" hidden="1" x14ac:dyDescent="0.25">
      <c r="A278" s="114" t="s">
        <v>589</v>
      </c>
      <c r="B278" s="115" t="s">
        <v>1856</v>
      </c>
      <c r="C278" s="116" t="s">
        <v>20</v>
      </c>
      <c r="D278" s="116">
        <v>0</v>
      </c>
      <c r="E278" s="136">
        <f ca="1">OFFSET(INDEX(Composições!A:J,MATCH(Orçamentária!A278,Composições!A:A,0),8),2,0)</f>
        <v>10.477534800000001</v>
      </c>
      <c r="F278" s="137">
        <f t="shared" ca="1" si="12"/>
        <v>0</v>
      </c>
      <c r="G278" s="138" t="e">
        <f>IF(A278&lt;&gt;"",IF(AND(#REF!="Padrão",$H$4=#REF!),BDI!$B$17,IF(AND(#REF!="Padrão",$H$4=#REF!),BDI!#REF!,IF(AND(#REF!="Diferenciado",$H$4=#REF!),BDI!$E$17,IF(AND(#REF!="Diferenciado",$H$4=#REF!),BDI!#REF!,IF(#REF!="ZERO",0))))),"")</f>
        <v>#REF!</v>
      </c>
      <c r="H278" s="139" t="e">
        <f t="shared" ca="1" si="13"/>
        <v>#REF!</v>
      </c>
      <c r="I278" s="137" t="e">
        <f t="shared" ca="1" si="14"/>
        <v>#REF!</v>
      </c>
    </row>
    <row r="279" spans="1:9" hidden="1" x14ac:dyDescent="0.25">
      <c r="A279" s="114" t="s">
        <v>593</v>
      </c>
      <c r="B279" s="115" t="s">
        <v>1857</v>
      </c>
      <c r="C279" s="116" t="s">
        <v>20</v>
      </c>
      <c r="D279" s="116">
        <v>0</v>
      </c>
      <c r="E279" s="136">
        <f ca="1">OFFSET(INDEX(Composições!A:J,MATCH(Orçamentária!A279,Composições!A:A,0),8),2,0)</f>
        <v>10.477534800000001</v>
      </c>
      <c r="F279" s="137">
        <f t="shared" ca="1" si="12"/>
        <v>0</v>
      </c>
      <c r="G279" s="138" t="e">
        <f>IF(A279&lt;&gt;"",IF(AND(#REF!="Padrão",$H$4=#REF!),BDI!$B$17,IF(AND(#REF!="Padrão",$H$4=#REF!),BDI!#REF!,IF(AND(#REF!="Diferenciado",$H$4=#REF!),BDI!$E$17,IF(AND(#REF!="Diferenciado",$H$4=#REF!),BDI!#REF!,IF(#REF!="ZERO",0))))),"")</f>
        <v>#REF!</v>
      </c>
      <c r="H279" s="139" t="e">
        <f t="shared" ca="1" si="13"/>
        <v>#REF!</v>
      </c>
      <c r="I279" s="137" t="e">
        <f t="shared" ca="1" si="14"/>
        <v>#REF!</v>
      </c>
    </row>
    <row r="280" spans="1:9" hidden="1" x14ac:dyDescent="0.25">
      <c r="A280" s="114" t="s">
        <v>597</v>
      </c>
      <c r="B280" s="115" t="s">
        <v>1858</v>
      </c>
      <c r="C280" s="116" t="s">
        <v>20</v>
      </c>
      <c r="D280" s="116">
        <v>0</v>
      </c>
      <c r="E280" s="136">
        <f ca="1">OFFSET(INDEX(Composições!A:J,MATCH(Orçamentária!A280,Composições!A:A,0),8),2,0)</f>
        <v>12.226967399999999</v>
      </c>
      <c r="F280" s="137">
        <f t="shared" ca="1" si="12"/>
        <v>0</v>
      </c>
      <c r="G280" s="138" t="e">
        <f>IF(A280&lt;&gt;"",IF(AND(#REF!="Padrão",$H$4=#REF!),BDI!$B$17,IF(AND(#REF!="Padrão",$H$4=#REF!),BDI!#REF!,IF(AND(#REF!="Diferenciado",$H$4=#REF!),BDI!$E$17,IF(AND(#REF!="Diferenciado",$H$4=#REF!),BDI!#REF!,IF(#REF!="ZERO",0))))),"")</f>
        <v>#REF!</v>
      </c>
      <c r="H280" s="139" t="e">
        <f t="shared" ca="1" si="13"/>
        <v>#REF!</v>
      </c>
      <c r="I280" s="137" t="e">
        <f t="shared" ca="1" si="14"/>
        <v>#REF!</v>
      </c>
    </row>
    <row r="281" spans="1:9" hidden="1" x14ac:dyDescent="0.25">
      <c r="A281" s="114" t="s">
        <v>599</v>
      </c>
      <c r="B281" s="115" t="s">
        <v>1859</v>
      </c>
      <c r="C281" s="116" t="s">
        <v>20</v>
      </c>
      <c r="D281" s="116">
        <v>0</v>
      </c>
      <c r="E281" s="136">
        <f ca="1">OFFSET(INDEX(Composições!A:J,MATCH(Orçamentária!A281,Composições!A:A,0),8),2,0)</f>
        <v>10.477534800000001</v>
      </c>
      <c r="F281" s="137">
        <f t="shared" ca="1" si="12"/>
        <v>0</v>
      </c>
      <c r="G281" s="138" t="e">
        <f>IF(A281&lt;&gt;"",IF(AND(#REF!="Padrão",$H$4=#REF!),BDI!$B$17,IF(AND(#REF!="Padrão",$H$4=#REF!),BDI!#REF!,IF(AND(#REF!="Diferenciado",$H$4=#REF!),BDI!$E$17,IF(AND(#REF!="Diferenciado",$H$4=#REF!),BDI!#REF!,IF(#REF!="ZERO",0))))),"")</f>
        <v>#REF!</v>
      </c>
      <c r="H281" s="139" t="e">
        <f t="shared" ca="1" si="13"/>
        <v>#REF!</v>
      </c>
      <c r="I281" s="137" t="e">
        <f t="shared" ca="1" si="14"/>
        <v>#REF!</v>
      </c>
    </row>
    <row r="282" spans="1:9" hidden="1" x14ac:dyDescent="0.25">
      <c r="A282" s="114" t="s">
        <v>603</v>
      </c>
      <c r="B282" s="115" t="s">
        <v>1860</v>
      </c>
      <c r="C282" s="116" t="s">
        <v>20</v>
      </c>
      <c r="D282" s="116">
        <v>0</v>
      </c>
      <c r="E282" s="136">
        <f ca="1">OFFSET(INDEX(Composições!A:J,MATCH(Orçamentária!A282,Composições!A:A,0),8),2,0)</f>
        <v>12.226967399999999</v>
      </c>
      <c r="F282" s="137">
        <f t="shared" ca="1" si="12"/>
        <v>0</v>
      </c>
      <c r="G282" s="138" t="e">
        <f>IF(A282&lt;&gt;"",IF(AND(#REF!="Padrão",$H$4=#REF!),BDI!$B$17,IF(AND(#REF!="Padrão",$H$4=#REF!),BDI!#REF!,IF(AND(#REF!="Diferenciado",$H$4=#REF!),BDI!$E$17,IF(AND(#REF!="Diferenciado",$H$4=#REF!),BDI!#REF!,IF(#REF!="ZERO",0))))),"")</f>
        <v>#REF!</v>
      </c>
      <c r="H282" s="139" t="e">
        <f t="shared" ca="1" si="13"/>
        <v>#REF!</v>
      </c>
      <c r="I282" s="137" t="e">
        <f t="shared" ca="1" si="14"/>
        <v>#REF!</v>
      </c>
    </row>
    <row r="283" spans="1:9" hidden="1" x14ac:dyDescent="0.25">
      <c r="A283" s="114" t="s">
        <v>605</v>
      </c>
      <c r="B283" s="115" t="s">
        <v>1861</v>
      </c>
      <c r="C283" s="116" t="s">
        <v>94</v>
      </c>
      <c r="D283" s="116">
        <v>0</v>
      </c>
      <c r="E283" s="136">
        <f ca="1">OFFSET(INDEX(Composições!A:J,MATCH(Orçamentária!A283,Composições!A:A,0),8),2,0)</f>
        <v>0.38967099999999999</v>
      </c>
      <c r="F283" s="137">
        <f t="shared" ca="1" si="12"/>
        <v>0</v>
      </c>
      <c r="G283" s="138" t="e">
        <f>IF(A283&lt;&gt;"",IF(AND(#REF!="Padrão",$H$4=#REF!),BDI!$B$17,IF(AND(#REF!="Padrão",$H$4=#REF!),BDI!#REF!,IF(AND(#REF!="Diferenciado",$H$4=#REF!),BDI!$E$17,IF(AND(#REF!="Diferenciado",$H$4=#REF!),BDI!#REF!,IF(#REF!="ZERO",0))))),"")</f>
        <v>#REF!</v>
      </c>
      <c r="H283" s="139" t="e">
        <f t="shared" ca="1" si="13"/>
        <v>#REF!</v>
      </c>
      <c r="I283" s="137" t="e">
        <f t="shared" ca="1" si="14"/>
        <v>#REF!</v>
      </c>
    </row>
    <row r="284" spans="1:9" hidden="1" x14ac:dyDescent="0.25">
      <c r="A284" s="114" t="s">
        <v>608</v>
      </c>
      <c r="B284" s="115" t="s">
        <v>1862</v>
      </c>
      <c r="C284" s="116" t="s">
        <v>94</v>
      </c>
      <c r="D284" s="116">
        <v>0</v>
      </c>
      <c r="E284" s="136">
        <f ca="1">OFFSET(INDEX(Composições!A:J,MATCH(Orçamentária!A284,Composições!A:A,0),8),2,0)</f>
        <v>0.548207</v>
      </c>
      <c r="F284" s="137">
        <f t="shared" ca="1" si="12"/>
        <v>0</v>
      </c>
      <c r="G284" s="138" t="e">
        <f>IF(A284&lt;&gt;"",IF(AND(#REF!="Padrão",$H$4=#REF!),BDI!$B$17,IF(AND(#REF!="Padrão",$H$4=#REF!),BDI!#REF!,IF(AND(#REF!="Diferenciado",$H$4=#REF!),BDI!$E$17,IF(AND(#REF!="Diferenciado",$H$4=#REF!),BDI!#REF!,IF(#REF!="ZERO",0))))),"")</f>
        <v>#REF!</v>
      </c>
      <c r="H284" s="139" t="e">
        <f t="shared" ca="1" si="13"/>
        <v>#REF!</v>
      </c>
      <c r="I284" s="137" t="e">
        <f t="shared" ca="1" si="14"/>
        <v>#REF!</v>
      </c>
    </row>
    <row r="285" spans="1:9" hidden="1" x14ac:dyDescent="0.25">
      <c r="A285" s="114" t="s">
        <v>610</v>
      </c>
      <c r="B285" s="115" t="s">
        <v>1863</v>
      </c>
      <c r="C285" s="116" t="s">
        <v>94</v>
      </c>
      <c r="D285" s="116">
        <v>0</v>
      </c>
      <c r="E285" s="136">
        <f ca="1">OFFSET(INDEX(Composições!A:J,MATCH(Orçamentária!A285,Composições!A:A,0),8),2,0)</f>
        <v>1.2186885000000001</v>
      </c>
      <c r="F285" s="137">
        <f t="shared" ca="1" si="12"/>
        <v>0</v>
      </c>
      <c r="G285" s="138" t="e">
        <f>IF(A285&lt;&gt;"",IF(AND(#REF!="Padrão",$H$4=#REF!),BDI!$B$17,IF(AND(#REF!="Padrão",$H$4=#REF!),BDI!#REF!,IF(AND(#REF!="Diferenciado",$H$4=#REF!),BDI!$E$17,IF(AND(#REF!="Diferenciado",$H$4=#REF!),BDI!#REF!,IF(#REF!="ZERO",0))))),"")</f>
        <v>#REF!</v>
      </c>
      <c r="H285" s="139" t="e">
        <f t="shared" ca="1" si="13"/>
        <v>#REF!</v>
      </c>
      <c r="I285" s="137" t="e">
        <f t="shared" ca="1" si="14"/>
        <v>#REF!</v>
      </c>
    </row>
    <row r="286" spans="1:9" hidden="1" x14ac:dyDescent="0.25">
      <c r="A286" s="114" t="s">
        <v>612</v>
      </c>
      <c r="B286" s="115" t="s">
        <v>1864</v>
      </c>
      <c r="C286" s="116" t="s">
        <v>94</v>
      </c>
      <c r="D286" s="116">
        <v>0</v>
      </c>
      <c r="E286" s="136">
        <f ca="1">OFFSET(INDEX(Composições!A:J,MATCH(Orçamentária!A286,Composições!A:A,0),8),2,0)</f>
        <v>2.0906365</v>
      </c>
      <c r="F286" s="137">
        <f t="shared" ca="1" si="12"/>
        <v>0</v>
      </c>
      <c r="G286" s="138" t="e">
        <f>IF(A286&lt;&gt;"",IF(AND(#REF!="Padrão",$H$4=#REF!),BDI!$B$17,IF(AND(#REF!="Padrão",$H$4=#REF!),BDI!#REF!,IF(AND(#REF!="Diferenciado",$H$4=#REF!),BDI!$E$17,IF(AND(#REF!="Diferenciado",$H$4=#REF!),BDI!#REF!,IF(#REF!="ZERO",0))))),"")</f>
        <v>#REF!</v>
      </c>
      <c r="H286" s="139" t="e">
        <f t="shared" ca="1" si="13"/>
        <v>#REF!</v>
      </c>
      <c r="I286" s="137" t="e">
        <f t="shared" ca="1" si="14"/>
        <v>#REF!</v>
      </c>
    </row>
    <row r="287" spans="1:9" hidden="1" x14ac:dyDescent="0.25">
      <c r="A287" s="114" t="s">
        <v>614</v>
      </c>
      <c r="B287" s="115" t="s">
        <v>1865</v>
      </c>
      <c r="C287" s="116" t="s">
        <v>94</v>
      </c>
      <c r="D287" s="116">
        <v>0</v>
      </c>
      <c r="E287" s="136">
        <f ca="1">OFFSET(INDEX(Composições!A:J,MATCH(Orçamentária!A287,Composições!A:A,0),8),2,0)</f>
        <v>1.6150285000000002</v>
      </c>
      <c r="F287" s="137">
        <f t="shared" ca="1" si="12"/>
        <v>0</v>
      </c>
      <c r="G287" s="138" t="e">
        <f>IF(A287&lt;&gt;"",IF(AND(#REF!="Padrão",$H$4=#REF!),BDI!$B$17,IF(AND(#REF!="Padrão",$H$4=#REF!),BDI!#REF!,IF(AND(#REF!="Diferenciado",$H$4=#REF!),BDI!$E$17,IF(AND(#REF!="Diferenciado",$H$4=#REF!),BDI!#REF!,IF(#REF!="ZERO",0))))),"")</f>
        <v>#REF!</v>
      </c>
      <c r="H287" s="139" t="e">
        <f t="shared" ca="1" si="13"/>
        <v>#REF!</v>
      </c>
      <c r="I287" s="137" t="e">
        <f t="shared" ca="1" si="14"/>
        <v>#REF!</v>
      </c>
    </row>
    <row r="288" spans="1:9" hidden="1" x14ac:dyDescent="0.25">
      <c r="A288" s="114" t="s">
        <v>616</v>
      </c>
      <c r="B288" s="115" t="s">
        <v>1866</v>
      </c>
      <c r="C288" s="116" t="s">
        <v>94</v>
      </c>
      <c r="D288" s="116">
        <v>0</v>
      </c>
      <c r="E288" s="136">
        <f ca="1">OFFSET(INDEX(Composições!A:J,MATCH(Orçamentária!A288,Composições!A:A,0),8),2,0)</f>
        <v>0.38967099999999999</v>
      </c>
      <c r="F288" s="137">
        <f t="shared" ca="1" si="12"/>
        <v>0</v>
      </c>
      <c r="G288" s="138" t="e">
        <f>IF(A288&lt;&gt;"",IF(AND(#REF!="Padrão",$H$4=#REF!),BDI!$B$17,IF(AND(#REF!="Padrão",$H$4=#REF!),BDI!#REF!,IF(AND(#REF!="Diferenciado",$H$4=#REF!),BDI!$E$17,IF(AND(#REF!="Diferenciado",$H$4=#REF!),BDI!#REF!,IF(#REF!="ZERO",0))))),"")</f>
        <v>#REF!</v>
      </c>
      <c r="H288" s="139" t="e">
        <f t="shared" ca="1" si="13"/>
        <v>#REF!</v>
      </c>
      <c r="I288" s="137" t="e">
        <f t="shared" ca="1" si="14"/>
        <v>#REF!</v>
      </c>
    </row>
    <row r="289" spans="1:9" hidden="1" x14ac:dyDescent="0.25">
      <c r="A289" s="114" t="s">
        <v>618</v>
      </c>
      <c r="B289" s="115" t="s">
        <v>1867</v>
      </c>
      <c r="C289" s="116" t="s">
        <v>94</v>
      </c>
      <c r="D289" s="116">
        <v>0</v>
      </c>
      <c r="E289" s="136">
        <f ca="1">OFFSET(INDEX(Composições!A:J,MATCH(Orçamentária!A289,Composições!A:A,0),8),2,0)</f>
        <v>2.0906365</v>
      </c>
      <c r="F289" s="137">
        <f t="shared" ca="1" si="12"/>
        <v>0</v>
      </c>
      <c r="G289" s="138" t="e">
        <f>IF(A289&lt;&gt;"",IF(AND(#REF!="Padrão",$H$4=#REF!),BDI!$B$17,IF(AND(#REF!="Padrão",$H$4=#REF!),BDI!#REF!,IF(AND(#REF!="Diferenciado",$H$4=#REF!),BDI!$E$17,IF(AND(#REF!="Diferenciado",$H$4=#REF!),BDI!#REF!,IF(#REF!="ZERO",0))))),"")</f>
        <v>#REF!</v>
      </c>
      <c r="H289" s="139" t="e">
        <f t="shared" ca="1" si="13"/>
        <v>#REF!</v>
      </c>
      <c r="I289" s="137" t="e">
        <f t="shared" ca="1" si="14"/>
        <v>#REF!</v>
      </c>
    </row>
    <row r="290" spans="1:9" hidden="1" x14ac:dyDescent="0.25">
      <c r="A290" s="114" t="s">
        <v>620</v>
      </c>
      <c r="B290" s="115" t="s">
        <v>1868</v>
      </c>
      <c r="C290" s="116" t="s">
        <v>20</v>
      </c>
      <c r="D290" s="116">
        <v>0</v>
      </c>
      <c r="E290" s="136">
        <f ca="1">OFFSET(INDEX(Composições!A:J,MATCH(Orçamentária!A290,Composições!A:A,0),8),2,0)</f>
        <v>35.889208636710407</v>
      </c>
      <c r="F290" s="137">
        <f t="shared" ca="1" si="12"/>
        <v>0</v>
      </c>
      <c r="G290" s="138" t="e">
        <f>IF(A290&lt;&gt;"",IF(AND(#REF!="Padrão",$H$4=#REF!),BDI!$B$17,IF(AND(#REF!="Padrão",$H$4=#REF!),BDI!#REF!,IF(AND(#REF!="Diferenciado",$H$4=#REF!),BDI!$E$17,IF(AND(#REF!="Diferenciado",$H$4=#REF!),BDI!#REF!,IF(#REF!="ZERO",0))))),"")</f>
        <v>#REF!</v>
      </c>
      <c r="H290" s="139" t="e">
        <f t="shared" ca="1" si="13"/>
        <v>#REF!</v>
      </c>
      <c r="I290" s="137" t="e">
        <f t="shared" ca="1" si="14"/>
        <v>#REF!</v>
      </c>
    </row>
    <row r="291" spans="1:9" hidden="1" x14ac:dyDescent="0.25">
      <c r="A291" s="114" t="s">
        <v>1869</v>
      </c>
      <c r="B291" s="115" t="s">
        <v>1870</v>
      </c>
      <c r="C291" s="116" t="s">
        <v>20</v>
      </c>
      <c r="D291" s="116">
        <v>0</v>
      </c>
      <c r="E291" s="136" t="s">
        <v>572</v>
      </c>
      <c r="F291" s="137" t="str">
        <f t="shared" si="12"/>
        <v/>
      </c>
      <c r="G291" s="138" t="e">
        <f>IF(A291&lt;&gt;"",IF(AND(#REF!="Padrão",$H$4=#REF!),BDI!$B$17,IF(AND(#REF!="Padrão",$H$4=#REF!),BDI!#REF!,IF(AND(#REF!="Diferenciado",$H$4=#REF!),BDI!$E$17,IF(AND(#REF!="Diferenciado",$H$4=#REF!),BDI!#REF!,IF(#REF!="ZERO",0))))),"")</f>
        <v>#REF!</v>
      </c>
      <c r="H291" s="139" t="str">
        <f t="shared" si="13"/>
        <v/>
      </c>
      <c r="I291" s="137" t="str">
        <f t="shared" si="14"/>
        <v/>
      </c>
    </row>
    <row r="292" spans="1:9" hidden="1" x14ac:dyDescent="0.25">
      <c r="A292" s="114" t="s">
        <v>1871</v>
      </c>
      <c r="B292" s="115" t="s">
        <v>1872</v>
      </c>
      <c r="C292" s="116" t="s">
        <v>20</v>
      </c>
      <c r="D292" s="116">
        <v>0</v>
      </c>
      <c r="E292" s="136" t="s">
        <v>572</v>
      </c>
      <c r="F292" s="137" t="str">
        <f t="shared" si="12"/>
        <v/>
      </c>
      <c r="G292" s="138" t="e">
        <f>IF(A292&lt;&gt;"",IF(AND(#REF!="Padrão",$H$4=#REF!),BDI!$B$17,IF(AND(#REF!="Padrão",$H$4=#REF!),BDI!#REF!,IF(AND(#REF!="Diferenciado",$H$4=#REF!),BDI!$E$17,IF(AND(#REF!="Diferenciado",$H$4=#REF!),BDI!#REF!,IF(#REF!="ZERO",0))))),"")</f>
        <v>#REF!</v>
      </c>
      <c r="H292" s="139" t="str">
        <f t="shared" si="13"/>
        <v/>
      </c>
      <c r="I292" s="137" t="str">
        <f t="shared" si="14"/>
        <v/>
      </c>
    </row>
    <row r="293" spans="1:9" hidden="1" x14ac:dyDescent="0.25">
      <c r="A293" s="114" t="s">
        <v>1873</v>
      </c>
      <c r="B293" s="115" t="s">
        <v>1874</v>
      </c>
      <c r="C293" s="116" t="s">
        <v>20</v>
      </c>
      <c r="D293" s="116">
        <v>0</v>
      </c>
      <c r="E293" s="136" t="s">
        <v>572</v>
      </c>
      <c r="F293" s="137" t="str">
        <f t="shared" si="12"/>
        <v/>
      </c>
      <c r="G293" s="138" t="e">
        <f>IF(A293&lt;&gt;"",IF(AND(#REF!="Padrão",$H$4=#REF!),BDI!$B$17,IF(AND(#REF!="Padrão",$H$4=#REF!),BDI!#REF!,IF(AND(#REF!="Diferenciado",$H$4=#REF!),BDI!$E$17,IF(AND(#REF!="Diferenciado",$H$4=#REF!),BDI!#REF!,IF(#REF!="ZERO",0))))),"")</f>
        <v>#REF!</v>
      </c>
      <c r="H293" s="139" t="str">
        <f t="shared" si="13"/>
        <v/>
      </c>
      <c r="I293" s="137" t="str">
        <f t="shared" si="14"/>
        <v/>
      </c>
    </row>
    <row r="294" spans="1:9" hidden="1" x14ac:dyDescent="0.25">
      <c r="A294" s="114" t="s">
        <v>1875</v>
      </c>
      <c r="B294" s="115" t="s">
        <v>1876</v>
      </c>
      <c r="C294" s="116" t="s">
        <v>20</v>
      </c>
      <c r="D294" s="116">
        <v>0</v>
      </c>
      <c r="E294" s="136" t="s">
        <v>572</v>
      </c>
      <c r="F294" s="137" t="str">
        <f t="shared" si="12"/>
        <v/>
      </c>
      <c r="G294" s="138" t="e">
        <f>IF(A294&lt;&gt;"",IF(AND(#REF!="Padrão",$H$4=#REF!),BDI!$B$17,IF(AND(#REF!="Padrão",$H$4=#REF!),BDI!#REF!,IF(AND(#REF!="Diferenciado",$H$4=#REF!),BDI!$E$17,IF(AND(#REF!="Diferenciado",$H$4=#REF!),BDI!#REF!,IF(#REF!="ZERO",0))))),"")</f>
        <v>#REF!</v>
      </c>
      <c r="H294" s="139" t="str">
        <f t="shared" si="13"/>
        <v/>
      </c>
      <c r="I294" s="137" t="str">
        <f t="shared" si="14"/>
        <v/>
      </c>
    </row>
    <row r="295" spans="1:9" hidden="1" x14ac:dyDescent="0.25">
      <c r="A295" s="114" t="s">
        <v>1877</v>
      </c>
      <c r="B295" s="115" t="s">
        <v>1878</v>
      </c>
      <c r="C295" s="116" t="s">
        <v>20</v>
      </c>
      <c r="D295" s="116">
        <v>0</v>
      </c>
      <c r="E295" s="136" t="s">
        <v>572</v>
      </c>
      <c r="F295" s="137" t="str">
        <f t="shared" si="12"/>
        <v/>
      </c>
      <c r="G295" s="138" t="e">
        <f>IF(A295&lt;&gt;"",IF(AND(#REF!="Padrão",$H$4=#REF!),BDI!$B$17,IF(AND(#REF!="Padrão",$H$4=#REF!),BDI!#REF!,IF(AND(#REF!="Diferenciado",$H$4=#REF!),BDI!$E$17,IF(AND(#REF!="Diferenciado",$H$4=#REF!),BDI!#REF!,IF(#REF!="ZERO",0))))),"")</f>
        <v>#REF!</v>
      </c>
      <c r="H295" s="139" t="str">
        <f t="shared" si="13"/>
        <v/>
      </c>
      <c r="I295" s="137" t="str">
        <f t="shared" si="14"/>
        <v/>
      </c>
    </row>
    <row r="296" spans="1:9" hidden="1" x14ac:dyDescent="0.25">
      <c r="A296" s="114" t="s">
        <v>1879</v>
      </c>
      <c r="B296" s="115" t="s">
        <v>1880</v>
      </c>
      <c r="C296" s="116" t="s">
        <v>20</v>
      </c>
      <c r="D296" s="116">
        <v>0</v>
      </c>
      <c r="E296" s="136" t="s">
        <v>572</v>
      </c>
      <c r="F296" s="137" t="str">
        <f t="shared" si="12"/>
        <v/>
      </c>
      <c r="G296" s="138" t="e">
        <f>IF(A296&lt;&gt;"",IF(AND(#REF!="Padrão",$H$4=#REF!),BDI!$B$17,IF(AND(#REF!="Padrão",$H$4=#REF!),BDI!#REF!,IF(AND(#REF!="Diferenciado",$H$4=#REF!),BDI!$E$17,IF(AND(#REF!="Diferenciado",$H$4=#REF!),BDI!#REF!,IF(#REF!="ZERO",0))))),"")</f>
        <v>#REF!</v>
      </c>
      <c r="H296" s="139" t="str">
        <f t="shared" si="13"/>
        <v/>
      </c>
      <c r="I296" s="137" t="str">
        <f t="shared" si="14"/>
        <v/>
      </c>
    </row>
    <row r="297" spans="1:9" hidden="1" x14ac:dyDescent="0.25">
      <c r="A297" s="114" t="s">
        <v>1881</v>
      </c>
      <c r="B297" s="115" t="s">
        <v>1882</v>
      </c>
      <c r="C297" s="116" t="s">
        <v>20</v>
      </c>
      <c r="D297" s="116">
        <v>0</v>
      </c>
      <c r="E297" s="136" t="s">
        <v>572</v>
      </c>
      <c r="F297" s="137" t="str">
        <f t="shared" si="12"/>
        <v/>
      </c>
      <c r="G297" s="138" t="e">
        <f>IF(A297&lt;&gt;"",IF(AND(#REF!="Padrão",$H$4=#REF!),BDI!$B$17,IF(AND(#REF!="Padrão",$H$4=#REF!),BDI!#REF!,IF(AND(#REF!="Diferenciado",$H$4=#REF!),BDI!$E$17,IF(AND(#REF!="Diferenciado",$H$4=#REF!),BDI!#REF!,IF(#REF!="ZERO",0))))),"")</f>
        <v>#REF!</v>
      </c>
      <c r="H297" s="139" t="str">
        <f t="shared" si="13"/>
        <v/>
      </c>
      <c r="I297" s="137" t="str">
        <f t="shared" si="14"/>
        <v/>
      </c>
    </row>
    <row r="298" spans="1:9" hidden="1" x14ac:dyDescent="0.25">
      <c r="A298" s="114" t="s">
        <v>622</v>
      </c>
      <c r="B298" s="115" t="s">
        <v>1883</v>
      </c>
      <c r="C298" s="116" t="s">
        <v>20</v>
      </c>
      <c r="D298" s="116">
        <v>0</v>
      </c>
      <c r="E298" s="136">
        <f ca="1">OFFSET(INDEX(Composições!A:J,MATCH(Orçamentária!A298,Composições!A:A,0),8),2,0)</f>
        <v>81.073000000000008</v>
      </c>
      <c r="F298" s="137">
        <f t="shared" ca="1" si="12"/>
        <v>0</v>
      </c>
      <c r="G298" s="138" t="e">
        <f>IF(A298&lt;&gt;"",IF(AND(#REF!="Padrão",$H$4=#REF!),BDI!$B$17,IF(AND(#REF!="Padrão",$H$4=#REF!),BDI!#REF!,IF(AND(#REF!="Diferenciado",$H$4=#REF!),BDI!$E$17,IF(AND(#REF!="Diferenciado",$H$4=#REF!),BDI!#REF!,IF(#REF!="ZERO",0))))),"")</f>
        <v>#REF!</v>
      </c>
      <c r="H298" s="139" t="e">
        <f t="shared" ca="1" si="13"/>
        <v>#REF!</v>
      </c>
      <c r="I298" s="137" t="e">
        <f t="shared" ca="1" si="14"/>
        <v>#REF!</v>
      </c>
    </row>
    <row r="299" spans="1:9" hidden="1" x14ac:dyDescent="0.25">
      <c r="A299" s="114" t="s">
        <v>624</v>
      </c>
      <c r="B299" s="115" t="s">
        <v>1884</v>
      </c>
      <c r="C299" s="116" t="s">
        <v>20</v>
      </c>
      <c r="D299" s="116">
        <v>0</v>
      </c>
      <c r="E299" s="136">
        <f ca="1">OFFSET(INDEX(Composições!A:J,MATCH(Orçamentária!A299,Composições!A:A,0),8),2,0)</f>
        <v>121.6095</v>
      </c>
      <c r="F299" s="137">
        <f t="shared" ca="1" si="12"/>
        <v>0</v>
      </c>
      <c r="G299" s="138" t="e">
        <f>IF(A299&lt;&gt;"",IF(AND(#REF!="Padrão",$H$4=#REF!),BDI!$B$17,IF(AND(#REF!="Padrão",$H$4=#REF!),BDI!#REF!,IF(AND(#REF!="Diferenciado",$H$4=#REF!),BDI!$E$17,IF(AND(#REF!="Diferenciado",$H$4=#REF!),BDI!#REF!,IF(#REF!="ZERO",0))))),"")</f>
        <v>#REF!</v>
      </c>
      <c r="H299" s="139" t="e">
        <f t="shared" ca="1" si="13"/>
        <v>#REF!</v>
      </c>
      <c r="I299" s="137" t="e">
        <f t="shared" ca="1" si="14"/>
        <v>#REF!</v>
      </c>
    </row>
    <row r="300" spans="1:9" hidden="1" x14ac:dyDescent="0.25">
      <c r="A300" s="114" t="s">
        <v>625</v>
      </c>
      <c r="B300" s="115" t="s">
        <v>1885</v>
      </c>
      <c r="C300" s="116" t="s">
        <v>20</v>
      </c>
      <c r="D300" s="116">
        <v>0</v>
      </c>
      <c r="E300" s="136">
        <f ca="1">OFFSET(INDEX(Composições!A:J,MATCH(Orçamentária!A300,Composições!A:A,0),8),2,0)</f>
        <v>39.634</v>
      </c>
      <c r="F300" s="137">
        <f t="shared" ca="1" si="12"/>
        <v>0</v>
      </c>
      <c r="G300" s="138" t="e">
        <f>IF(A300&lt;&gt;"",IF(AND(#REF!="Padrão",$H$4=#REF!),BDI!$B$17,IF(AND(#REF!="Padrão",$H$4=#REF!),BDI!#REF!,IF(AND(#REF!="Diferenciado",$H$4=#REF!),BDI!$E$17,IF(AND(#REF!="Diferenciado",$H$4=#REF!),BDI!#REF!,IF(#REF!="ZERO",0))))),"")</f>
        <v>#REF!</v>
      </c>
      <c r="H300" s="139" t="e">
        <f t="shared" ca="1" si="13"/>
        <v>#REF!</v>
      </c>
      <c r="I300" s="137" t="e">
        <f t="shared" ca="1" si="14"/>
        <v>#REF!</v>
      </c>
    </row>
    <row r="301" spans="1:9" hidden="1" x14ac:dyDescent="0.25">
      <c r="A301" s="114" t="s">
        <v>627</v>
      </c>
      <c r="B301" s="115" t="s">
        <v>1886</v>
      </c>
      <c r="C301" s="116" t="s">
        <v>20</v>
      </c>
      <c r="D301" s="116">
        <v>0</v>
      </c>
      <c r="E301" s="136">
        <f ca="1">OFFSET(INDEX(Composições!A:J,MATCH(Orçamentária!A301,Composições!A:A,0),8),2,0)</f>
        <v>39.634</v>
      </c>
      <c r="F301" s="137">
        <f t="shared" ca="1" si="12"/>
        <v>0</v>
      </c>
      <c r="G301" s="138" t="e">
        <f>IF(A301&lt;&gt;"",IF(AND(#REF!="Padrão",$H$4=#REF!),BDI!$B$17,IF(AND(#REF!="Padrão",$H$4=#REF!),BDI!#REF!,IF(AND(#REF!="Diferenciado",$H$4=#REF!),BDI!$E$17,IF(AND(#REF!="Diferenciado",$H$4=#REF!),BDI!#REF!,IF(#REF!="ZERO",0))))),"")</f>
        <v>#REF!</v>
      </c>
      <c r="H301" s="139" t="e">
        <f t="shared" ca="1" si="13"/>
        <v>#REF!</v>
      </c>
      <c r="I301" s="137" t="e">
        <f t="shared" ca="1" si="14"/>
        <v>#REF!</v>
      </c>
    </row>
    <row r="302" spans="1:9" hidden="1" x14ac:dyDescent="0.25">
      <c r="A302" s="114" t="s">
        <v>629</v>
      </c>
      <c r="B302" s="115" t="s">
        <v>1887</v>
      </c>
      <c r="C302" s="116" t="s">
        <v>96</v>
      </c>
      <c r="D302" s="116">
        <v>0</v>
      </c>
      <c r="E302" s="136">
        <f ca="1">OFFSET(INDEX(Composições!A:J,MATCH(Orçamentária!A302,Composições!A:A,0),8),2,0)</f>
        <v>234.42443199999997</v>
      </c>
      <c r="F302" s="137">
        <f t="shared" ca="1" si="12"/>
        <v>0</v>
      </c>
      <c r="G302" s="138" t="e">
        <f>IF(A302&lt;&gt;"",IF(AND(#REF!="Padrão",$H$4=#REF!),BDI!$B$17,IF(AND(#REF!="Padrão",$H$4=#REF!),BDI!#REF!,IF(AND(#REF!="Diferenciado",$H$4=#REF!),BDI!$E$17,IF(AND(#REF!="Diferenciado",$H$4=#REF!),BDI!#REF!,IF(#REF!="ZERO",0))))),"")</f>
        <v>#REF!</v>
      </c>
      <c r="H302" s="139" t="e">
        <f t="shared" ca="1" si="13"/>
        <v>#REF!</v>
      </c>
      <c r="I302" s="137" t="e">
        <f t="shared" ca="1" si="14"/>
        <v>#REF!</v>
      </c>
    </row>
    <row r="303" spans="1:9" hidden="1" x14ac:dyDescent="0.25">
      <c r="A303" s="114" t="s">
        <v>633</v>
      </c>
      <c r="B303" s="115" t="s">
        <v>1888</v>
      </c>
      <c r="C303" s="116" t="s">
        <v>94</v>
      </c>
      <c r="D303" s="116">
        <v>0</v>
      </c>
      <c r="E303" s="136">
        <f ca="1">OFFSET(INDEX(Composições!A:J,MATCH(Orçamentária!A303,Composições!A:A,0),8),2,0)</f>
        <v>15.751000000000001</v>
      </c>
      <c r="F303" s="137">
        <f t="shared" ca="1" si="12"/>
        <v>0</v>
      </c>
      <c r="G303" s="138" t="e">
        <f>IF(A303&lt;&gt;"",IF(AND(#REF!="Padrão",$H$4=#REF!),BDI!$B$17,IF(AND(#REF!="Padrão",$H$4=#REF!),BDI!#REF!,IF(AND(#REF!="Diferenciado",$H$4=#REF!),BDI!$E$17,IF(AND(#REF!="Diferenciado",$H$4=#REF!),BDI!#REF!,IF(#REF!="ZERO",0))))),"")</f>
        <v>#REF!</v>
      </c>
      <c r="H303" s="139" t="e">
        <f t="shared" ca="1" si="13"/>
        <v>#REF!</v>
      </c>
      <c r="I303" s="137" t="e">
        <f t="shared" ca="1" si="14"/>
        <v>#REF!</v>
      </c>
    </row>
    <row r="304" spans="1:9" hidden="1" x14ac:dyDescent="0.25">
      <c r="A304" s="114" t="s">
        <v>635</v>
      </c>
      <c r="B304" s="115" t="s">
        <v>1889</v>
      </c>
      <c r="C304" s="116" t="s">
        <v>94</v>
      </c>
      <c r="D304" s="116">
        <v>0</v>
      </c>
      <c r="E304" s="136">
        <f ca="1">OFFSET(INDEX(Composições!A:J,MATCH(Orçamentária!A304,Composições!A:A,0),8),2,0)</f>
        <v>15.751000000000001</v>
      </c>
      <c r="F304" s="137">
        <f t="shared" ca="1" si="12"/>
        <v>0</v>
      </c>
      <c r="G304" s="138" t="e">
        <f>IF(A304&lt;&gt;"",IF(AND(#REF!="Padrão",$H$4=#REF!),BDI!$B$17,IF(AND(#REF!="Padrão",$H$4=#REF!),BDI!#REF!,IF(AND(#REF!="Diferenciado",$H$4=#REF!),BDI!$E$17,IF(AND(#REF!="Diferenciado",$H$4=#REF!),BDI!#REF!,IF(#REF!="ZERO",0))))),"")</f>
        <v>#REF!</v>
      </c>
      <c r="H304" s="139" t="e">
        <f t="shared" ca="1" si="13"/>
        <v>#REF!</v>
      </c>
      <c r="I304" s="137" t="e">
        <f t="shared" ca="1" si="14"/>
        <v>#REF!</v>
      </c>
    </row>
    <row r="305" spans="1:9" hidden="1" x14ac:dyDescent="0.25">
      <c r="A305" s="114" t="s">
        <v>637</v>
      </c>
      <c r="B305" s="115" t="s">
        <v>1890</v>
      </c>
      <c r="C305" s="116" t="s">
        <v>20</v>
      </c>
      <c r="D305" s="116">
        <v>0</v>
      </c>
      <c r="E305" s="136">
        <f ca="1">OFFSET(INDEX(Composições!A:J,MATCH(Orçamentária!A305,Composições!A:A,0),8),2,0)</f>
        <v>101.34125</v>
      </c>
      <c r="F305" s="137">
        <f t="shared" ca="1" si="12"/>
        <v>0</v>
      </c>
      <c r="G305" s="138" t="e">
        <f>IF(A305&lt;&gt;"",IF(AND(#REF!="Padrão",$H$4=#REF!),BDI!$B$17,IF(AND(#REF!="Padrão",$H$4=#REF!),BDI!#REF!,IF(AND(#REF!="Diferenciado",$H$4=#REF!),BDI!$E$17,IF(AND(#REF!="Diferenciado",$H$4=#REF!),BDI!#REF!,IF(#REF!="ZERO",0))))),"")</f>
        <v>#REF!</v>
      </c>
      <c r="H305" s="139" t="e">
        <f t="shared" ca="1" si="13"/>
        <v>#REF!</v>
      </c>
      <c r="I305" s="137" t="e">
        <f t="shared" ca="1" si="14"/>
        <v>#REF!</v>
      </c>
    </row>
    <row r="306" spans="1:9" hidden="1" x14ac:dyDescent="0.25">
      <c r="A306" s="114" t="s">
        <v>639</v>
      </c>
      <c r="B306" s="115" t="s">
        <v>1891</v>
      </c>
      <c r="C306" s="116" t="s">
        <v>20</v>
      </c>
      <c r="D306" s="116">
        <v>0</v>
      </c>
      <c r="E306" s="136">
        <f ca="1">OFFSET(INDEX(Composições!A:J,MATCH(Orçamentária!A306,Composições!A:A,0),8),2,0)</f>
        <v>101.34125</v>
      </c>
      <c r="F306" s="137">
        <f t="shared" ca="1" si="12"/>
        <v>0</v>
      </c>
      <c r="G306" s="138" t="e">
        <f>IF(A306&lt;&gt;"",IF(AND(#REF!="Padrão",$H$4=#REF!),BDI!$B$17,IF(AND(#REF!="Padrão",$H$4=#REF!),BDI!#REF!,IF(AND(#REF!="Diferenciado",$H$4=#REF!),BDI!$E$17,IF(AND(#REF!="Diferenciado",$H$4=#REF!),BDI!#REF!,IF(#REF!="ZERO",0))))),"")</f>
        <v>#REF!</v>
      </c>
      <c r="H306" s="139" t="e">
        <f t="shared" ca="1" si="13"/>
        <v>#REF!</v>
      </c>
      <c r="I306" s="137" t="e">
        <f t="shared" ca="1" si="14"/>
        <v>#REF!</v>
      </c>
    </row>
    <row r="307" spans="1:9" hidden="1" x14ac:dyDescent="0.25">
      <c r="A307" s="114" t="s">
        <v>641</v>
      </c>
      <c r="B307" s="115" t="s">
        <v>1892</v>
      </c>
      <c r="C307" s="116" t="s">
        <v>20</v>
      </c>
      <c r="D307" s="116">
        <v>0</v>
      </c>
      <c r="E307" s="136">
        <f ca="1">OFFSET(INDEX(Composições!A:J,MATCH(Orçamentária!A307,Composições!A:A,0),8),2,0)</f>
        <v>101.34125</v>
      </c>
      <c r="F307" s="137">
        <f t="shared" ca="1" si="12"/>
        <v>0</v>
      </c>
      <c r="G307" s="138" t="e">
        <f>IF(A307&lt;&gt;"",IF(AND(#REF!="Padrão",$H$4=#REF!),BDI!$B$17,IF(AND(#REF!="Padrão",$H$4=#REF!),BDI!#REF!,IF(AND(#REF!="Diferenciado",$H$4=#REF!),BDI!$E$17,IF(AND(#REF!="Diferenciado",$H$4=#REF!),BDI!#REF!,IF(#REF!="ZERO",0))))),"")</f>
        <v>#REF!</v>
      </c>
      <c r="H307" s="139" t="e">
        <f t="shared" ca="1" si="13"/>
        <v>#REF!</v>
      </c>
      <c r="I307" s="137" t="e">
        <f t="shared" ca="1" si="14"/>
        <v>#REF!</v>
      </c>
    </row>
    <row r="308" spans="1:9" hidden="1" x14ac:dyDescent="0.25">
      <c r="A308" s="114" t="s">
        <v>643</v>
      </c>
      <c r="B308" s="115" t="s">
        <v>1893</v>
      </c>
      <c r="C308" s="116" t="s">
        <v>20</v>
      </c>
      <c r="D308" s="116">
        <v>0</v>
      </c>
      <c r="E308" s="136">
        <f ca="1">OFFSET(INDEX(Composições!A:J,MATCH(Orçamentária!A308,Composições!A:A,0),8),2,0)</f>
        <v>101.34125</v>
      </c>
      <c r="F308" s="137">
        <f t="shared" ca="1" si="12"/>
        <v>0</v>
      </c>
      <c r="G308" s="138" t="e">
        <f>IF(A308&lt;&gt;"",IF(AND(#REF!="Padrão",$H$4=#REF!),BDI!$B$17,IF(AND(#REF!="Padrão",$H$4=#REF!),BDI!#REF!,IF(AND(#REF!="Diferenciado",$H$4=#REF!),BDI!$E$17,IF(AND(#REF!="Diferenciado",$H$4=#REF!),BDI!#REF!,IF(#REF!="ZERO",0))))),"")</f>
        <v>#REF!</v>
      </c>
      <c r="H308" s="139" t="e">
        <f t="shared" ca="1" si="13"/>
        <v>#REF!</v>
      </c>
      <c r="I308" s="137" t="e">
        <f t="shared" ca="1" si="14"/>
        <v>#REF!</v>
      </c>
    </row>
    <row r="309" spans="1:9" hidden="1" x14ac:dyDescent="0.25">
      <c r="A309" s="114" t="s">
        <v>645</v>
      </c>
      <c r="B309" s="115" t="s">
        <v>1894</v>
      </c>
      <c r="C309" s="116" t="s">
        <v>20</v>
      </c>
      <c r="D309" s="116">
        <v>0</v>
      </c>
      <c r="E309" s="136">
        <f ca="1">OFFSET(INDEX(Composições!A:J,MATCH(Orçamentária!A309,Composições!A:A,0),8),2,0)</f>
        <v>101.34125</v>
      </c>
      <c r="F309" s="137">
        <f t="shared" ca="1" si="12"/>
        <v>0</v>
      </c>
      <c r="G309" s="138" t="e">
        <f>IF(A309&lt;&gt;"",IF(AND(#REF!="Padrão",$H$4=#REF!),BDI!$B$17,IF(AND(#REF!="Padrão",$H$4=#REF!),BDI!#REF!,IF(AND(#REF!="Diferenciado",$H$4=#REF!),BDI!$E$17,IF(AND(#REF!="Diferenciado",$H$4=#REF!),BDI!#REF!,IF(#REF!="ZERO",0))))),"")</f>
        <v>#REF!</v>
      </c>
      <c r="H309" s="139" t="e">
        <f t="shared" ca="1" si="13"/>
        <v>#REF!</v>
      </c>
      <c r="I309" s="137" t="e">
        <f t="shared" ca="1" si="14"/>
        <v>#REF!</v>
      </c>
    </row>
    <row r="310" spans="1:9" hidden="1" x14ac:dyDescent="0.25">
      <c r="A310" s="114" t="s">
        <v>647</v>
      </c>
      <c r="B310" s="115" t="s">
        <v>1895</v>
      </c>
      <c r="C310" s="116" t="s">
        <v>20</v>
      </c>
      <c r="D310" s="116">
        <v>0</v>
      </c>
      <c r="E310" s="136">
        <f ca="1">OFFSET(INDEX(Composições!A:J,MATCH(Orçamentária!A310,Composições!A:A,0),8),2,0)</f>
        <v>101.34125</v>
      </c>
      <c r="F310" s="137">
        <f t="shared" ca="1" si="12"/>
        <v>0</v>
      </c>
      <c r="G310" s="138" t="e">
        <f>IF(A310&lt;&gt;"",IF(AND(#REF!="Padrão",$H$4=#REF!),BDI!$B$17,IF(AND(#REF!="Padrão",$H$4=#REF!),BDI!#REF!,IF(AND(#REF!="Diferenciado",$H$4=#REF!),BDI!$E$17,IF(AND(#REF!="Diferenciado",$H$4=#REF!),BDI!#REF!,IF(#REF!="ZERO",0))))),"")</f>
        <v>#REF!</v>
      </c>
      <c r="H310" s="139" t="e">
        <f t="shared" ca="1" si="13"/>
        <v>#REF!</v>
      </c>
      <c r="I310" s="137" t="e">
        <f t="shared" ca="1" si="14"/>
        <v>#REF!</v>
      </c>
    </row>
    <row r="311" spans="1:9" hidden="1" x14ac:dyDescent="0.25">
      <c r="A311" s="114" t="s">
        <v>649</v>
      </c>
      <c r="B311" s="115" t="s">
        <v>1896</v>
      </c>
      <c r="C311" s="116" t="s">
        <v>20</v>
      </c>
      <c r="D311" s="116">
        <v>0</v>
      </c>
      <c r="E311" s="136">
        <f ca="1">OFFSET(INDEX(Composições!A:J,MATCH(Orçamentária!A311,Composições!A:A,0),8),2,0)</f>
        <v>101.34125</v>
      </c>
      <c r="F311" s="137">
        <f t="shared" ca="1" si="12"/>
        <v>0</v>
      </c>
      <c r="G311" s="138" t="e">
        <f>IF(A311&lt;&gt;"",IF(AND(#REF!="Padrão",$H$4=#REF!),BDI!$B$17,IF(AND(#REF!="Padrão",$H$4=#REF!),BDI!#REF!,IF(AND(#REF!="Diferenciado",$H$4=#REF!),BDI!$E$17,IF(AND(#REF!="Diferenciado",$H$4=#REF!),BDI!#REF!,IF(#REF!="ZERO",0))))),"")</f>
        <v>#REF!</v>
      </c>
      <c r="H311" s="139" t="e">
        <f t="shared" ca="1" si="13"/>
        <v>#REF!</v>
      </c>
      <c r="I311" s="137" t="e">
        <f t="shared" ca="1" si="14"/>
        <v>#REF!</v>
      </c>
    </row>
    <row r="312" spans="1:9" hidden="1" x14ac:dyDescent="0.25">
      <c r="A312" s="114" t="s">
        <v>651</v>
      </c>
      <c r="B312" s="115" t="s">
        <v>1897</v>
      </c>
      <c r="C312" s="116" t="s">
        <v>20</v>
      </c>
      <c r="D312" s="116">
        <v>0</v>
      </c>
      <c r="E312" s="136">
        <f ca="1">OFFSET(INDEX(Composições!A:J,MATCH(Orçamentária!A312,Composições!A:A,0),8),2,0)</f>
        <v>101.34125</v>
      </c>
      <c r="F312" s="137">
        <f t="shared" ca="1" si="12"/>
        <v>0</v>
      </c>
      <c r="G312" s="138" t="e">
        <f>IF(A312&lt;&gt;"",IF(AND(#REF!="Padrão",$H$4=#REF!),BDI!$B$17,IF(AND(#REF!="Padrão",$H$4=#REF!),BDI!#REF!,IF(AND(#REF!="Diferenciado",$H$4=#REF!),BDI!$E$17,IF(AND(#REF!="Diferenciado",$H$4=#REF!),BDI!#REF!,IF(#REF!="ZERO",0))))),"")</f>
        <v>#REF!</v>
      </c>
      <c r="H312" s="139" t="e">
        <f t="shared" ca="1" si="13"/>
        <v>#REF!</v>
      </c>
      <c r="I312" s="137" t="e">
        <f t="shared" ca="1" si="14"/>
        <v>#REF!</v>
      </c>
    </row>
    <row r="313" spans="1:9" hidden="1" x14ac:dyDescent="0.25">
      <c r="A313" s="114" t="s">
        <v>653</v>
      </c>
      <c r="B313" s="115" t="s">
        <v>1898</v>
      </c>
      <c r="C313" s="116" t="s">
        <v>20</v>
      </c>
      <c r="D313" s="116">
        <v>0</v>
      </c>
      <c r="E313" s="136">
        <f ca="1">OFFSET(INDEX(Composições!A:J,MATCH(Orçamentária!A313,Composições!A:A,0),8),2,0)</f>
        <v>142.82774999999998</v>
      </c>
      <c r="F313" s="137">
        <f t="shared" ca="1" si="12"/>
        <v>0</v>
      </c>
      <c r="G313" s="138" t="e">
        <f>IF(A313&lt;&gt;"",IF(AND(#REF!="Padrão",$H$4=#REF!),BDI!$B$17,IF(AND(#REF!="Padrão",$H$4=#REF!),BDI!#REF!,IF(AND(#REF!="Diferenciado",$H$4=#REF!),BDI!$E$17,IF(AND(#REF!="Diferenciado",$H$4=#REF!),BDI!#REF!,IF(#REF!="ZERO",0))))),"")</f>
        <v>#REF!</v>
      </c>
      <c r="H313" s="139" t="e">
        <f t="shared" ca="1" si="13"/>
        <v>#REF!</v>
      </c>
      <c r="I313" s="137" t="e">
        <f t="shared" ca="1" si="14"/>
        <v>#REF!</v>
      </c>
    </row>
    <row r="314" spans="1:9" hidden="1" x14ac:dyDescent="0.25">
      <c r="A314" s="114" t="s">
        <v>655</v>
      </c>
      <c r="B314" s="115" t="s">
        <v>1899</v>
      </c>
      <c r="C314" s="116" t="s">
        <v>20</v>
      </c>
      <c r="D314" s="116">
        <v>0</v>
      </c>
      <c r="E314" s="136">
        <f ca="1">OFFSET(INDEX(Composições!A:J,MATCH(Orçamentária!A314,Composições!A:A,0),8),2,0)</f>
        <v>142.82774999999998</v>
      </c>
      <c r="F314" s="137">
        <f t="shared" ca="1" si="12"/>
        <v>0</v>
      </c>
      <c r="G314" s="138" t="e">
        <f>IF(A314&lt;&gt;"",IF(AND(#REF!="Padrão",$H$4=#REF!),BDI!$B$17,IF(AND(#REF!="Padrão",$H$4=#REF!),BDI!#REF!,IF(AND(#REF!="Diferenciado",$H$4=#REF!),BDI!$E$17,IF(AND(#REF!="Diferenciado",$H$4=#REF!),BDI!#REF!,IF(#REF!="ZERO",0))))),"")</f>
        <v>#REF!</v>
      </c>
      <c r="H314" s="139" t="e">
        <f t="shared" ca="1" si="13"/>
        <v>#REF!</v>
      </c>
      <c r="I314" s="137" t="e">
        <f t="shared" ca="1" si="14"/>
        <v>#REF!</v>
      </c>
    </row>
    <row r="315" spans="1:9" hidden="1" x14ac:dyDescent="0.25">
      <c r="A315" s="114" t="s">
        <v>657</v>
      </c>
      <c r="B315" s="115" t="s">
        <v>1900</v>
      </c>
      <c r="C315" s="116" t="s">
        <v>20</v>
      </c>
      <c r="D315" s="116">
        <v>0</v>
      </c>
      <c r="E315" s="136">
        <f ca="1">OFFSET(INDEX(Composições!A:J,MATCH(Orçamentária!A315,Composições!A:A,0),8),2,0)</f>
        <v>101.34125</v>
      </c>
      <c r="F315" s="137">
        <f t="shared" ca="1" si="12"/>
        <v>0</v>
      </c>
      <c r="G315" s="138" t="e">
        <f>IF(A315&lt;&gt;"",IF(AND(#REF!="Padrão",$H$4=#REF!),BDI!$B$17,IF(AND(#REF!="Padrão",$H$4=#REF!),BDI!#REF!,IF(AND(#REF!="Diferenciado",$H$4=#REF!),BDI!$E$17,IF(AND(#REF!="Diferenciado",$H$4=#REF!),BDI!#REF!,IF(#REF!="ZERO",0))))),"")</f>
        <v>#REF!</v>
      </c>
      <c r="H315" s="139" t="e">
        <f t="shared" ca="1" si="13"/>
        <v>#REF!</v>
      </c>
      <c r="I315" s="137" t="e">
        <f t="shared" ca="1" si="14"/>
        <v>#REF!</v>
      </c>
    </row>
    <row r="316" spans="1:9" hidden="1" x14ac:dyDescent="0.25">
      <c r="A316" s="114" t="s">
        <v>658</v>
      </c>
      <c r="B316" s="115" t="s">
        <v>1901</v>
      </c>
      <c r="C316" s="116" t="s">
        <v>20</v>
      </c>
      <c r="D316" s="116">
        <v>0</v>
      </c>
      <c r="E316" s="136">
        <f ca="1">OFFSET(INDEX(Composições!A:J,MATCH(Orçamentária!A316,Composições!A:A,0),8),2,0)</f>
        <v>39.634</v>
      </c>
      <c r="F316" s="137">
        <f t="shared" ca="1" si="12"/>
        <v>0</v>
      </c>
      <c r="G316" s="138" t="e">
        <f>IF(A316&lt;&gt;"",IF(AND(#REF!="Padrão",$H$4=#REF!),BDI!$B$17,IF(AND(#REF!="Padrão",$H$4=#REF!),BDI!#REF!,IF(AND(#REF!="Diferenciado",$H$4=#REF!),BDI!$E$17,IF(AND(#REF!="Diferenciado",$H$4=#REF!),BDI!#REF!,IF(#REF!="ZERO",0))))),"")</f>
        <v>#REF!</v>
      </c>
      <c r="H316" s="139" t="e">
        <f t="shared" ca="1" si="13"/>
        <v>#REF!</v>
      </c>
      <c r="I316" s="137" t="e">
        <f t="shared" ca="1" si="14"/>
        <v>#REF!</v>
      </c>
    </row>
    <row r="317" spans="1:9" hidden="1" x14ac:dyDescent="0.25">
      <c r="A317" s="114" t="s">
        <v>659</v>
      </c>
      <c r="B317" s="115" t="s">
        <v>1902</v>
      </c>
      <c r="C317" s="116" t="s">
        <v>20</v>
      </c>
      <c r="D317" s="116">
        <v>0</v>
      </c>
      <c r="E317" s="136">
        <f ca="1">OFFSET(INDEX(Composições!A:J,MATCH(Orçamentária!A317,Composições!A:A,0),8),2,0)</f>
        <v>30.552</v>
      </c>
      <c r="F317" s="137">
        <f t="shared" ca="1" si="12"/>
        <v>0</v>
      </c>
      <c r="G317" s="138" t="e">
        <f>IF(A317&lt;&gt;"",IF(AND(#REF!="Padrão",$H$4=#REF!),BDI!$B$17,IF(AND(#REF!="Padrão",$H$4=#REF!),BDI!#REF!,IF(AND(#REF!="Diferenciado",$H$4=#REF!),BDI!$E$17,IF(AND(#REF!="Diferenciado",$H$4=#REF!),BDI!#REF!,IF(#REF!="ZERO",0))))),"")</f>
        <v>#REF!</v>
      </c>
      <c r="H317" s="139" t="e">
        <f t="shared" ca="1" si="13"/>
        <v>#REF!</v>
      </c>
      <c r="I317" s="137" t="e">
        <f t="shared" ca="1" si="14"/>
        <v>#REF!</v>
      </c>
    </row>
    <row r="318" spans="1:9" hidden="1" x14ac:dyDescent="0.25">
      <c r="A318" s="114" t="s">
        <v>661</v>
      </c>
      <c r="B318" s="115" t="s">
        <v>1903</v>
      </c>
      <c r="C318" s="116" t="s">
        <v>20</v>
      </c>
      <c r="D318" s="116">
        <v>0</v>
      </c>
      <c r="E318" s="136">
        <f ca="1">OFFSET(INDEX(Composições!A:J,MATCH(Orçamentária!A318,Composições!A:A,0),8),2,0)</f>
        <v>39.634</v>
      </c>
      <c r="F318" s="137">
        <f t="shared" ca="1" si="12"/>
        <v>0</v>
      </c>
      <c r="G318" s="138" t="e">
        <f>IF(A318&lt;&gt;"",IF(AND(#REF!="Padrão",$H$4=#REF!),BDI!$B$17,IF(AND(#REF!="Padrão",$H$4=#REF!),BDI!#REF!,IF(AND(#REF!="Diferenciado",$H$4=#REF!),BDI!$E$17,IF(AND(#REF!="Diferenciado",$H$4=#REF!),BDI!#REF!,IF(#REF!="ZERO",0))))),"")</f>
        <v>#REF!</v>
      </c>
      <c r="H318" s="139" t="e">
        <f t="shared" ca="1" si="13"/>
        <v>#REF!</v>
      </c>
      <c r="I318" s="137" t="e">
        <f t="shared" ca="1" si="14"/>
        <v>#REF!</v>
      </c>
    </row>
    <row r="319" spans="1:9" hidden="1" x14ac:dyDescent="0.25">
      <c r="A319" s="114" t="s">
        <v>663</v>
      </c>
      <c r="B319" s="115" t="s">
        <v>1904</v>
      </c>
      <c r="C319" s="116" t="s">
        <v>94</v>
      </c>
      <c r="D319" s="116">
        <v>0</v>
      </c>
      <c r="E319" s="136">
        <f ca="1">OFFSET(INDEX(Composições!A:J,MATCH(Orçamentária!A319,Composições!A:A,0),8),2,0)</f>
        <v>0.87352500000000011</v>
      </c>
      <c r="F319" s="137">
        <f t="shared" ca="1" si="12"/>
        <v>0</v>
      </c>
      <c r="G319" s="138" t="e">
        <f>IF(A319&lt;&gt;"",IF(AND(#REF!="Padrão",$H$4=#REF!),BDI!$B$17,IF(AND(#REF!="Padrão",$H$4=#REF!),BDI!#REF!,IF(AND(#REF!="Diferenciado",$H$4=#REF!),BDI!$E$17,IF(AND(#REF!="Diferenciado",$H$4=#REF!),BDI!#REF!,IF(#REF!="ZERO",0))))),"")</f>
        <v>#REF!</v>
      </c>
      <c r="H319" s="139" t="e">
        <f t="shared" ca="1" si="13"/>
        <v>#REF!</v>
      </c>
      <c r="I319" s="137" t="e">
        <f t="shared" ca="1" si="14"/>
        <v>#REF!</v>
      </c>
    </row>
    <row r="320" spans="1:9" hidden="1" x14ac:dyDescent="0.25">
      <c r="A320" s="114" t="s">
        <v>665</v>
      </c>
      <c r="B320" s="115" t="s">
        <v>1905</v>
      </c>
      <c r="C320" s="116" t="s">
        <v>94</v>
      </c>
      <c r="D320" s="116">
        <v>0</v>
      </c>
      <c r="E320" s="136">
        <f ca="1">OFFSET(INDEX(Composições!A:J,MATCH(Orçamentária!A320,Composições!A:A,0),8),2,0)</f>
        <v>0.87352500000000011</v>
      </c>
      <c r="F320" s="137">
        <f t="shared" ca="1" si="12"/>
        <v>0</v>
      </c>
      <c r="G320" s="138" t="e">
        <f>IF(A320&lt;&gt;"",IF(AND(#REF!="Padrão",$H$4=#REF!),BDI!$B$17,IF(AND(#REF!="Padrão",$H$4=#REF!),BDI!#REF!,IF(AND(#REF!="Diferenciado",$H$4=#REF!),BDI!$E$17,IF(AND(#REF!="Diferenciado",$H$4=#REF!),BDI!#REF!,IF(#REF!="ZERO",0))))),"")</f>
        <v>#REF!</v>
      </c>
      <c r="H320" s="139" t="e">
        <f t="shared" ca="1" si="13"/>
        <v>#REF!</v>
      </c>
      <c r="I320" s="137" t="e">
        <f t="shared" ca="1" si="14"/>
        <v>#REF!</v>
      </c>
    </row>
    <row r="321" spans="1:11" hidden="1" x14ac:dyDescent="0.25">
      <c r="A321" s="114" t="s">
        <v>667</v>
      </c>
      <c r="B321" s="115" t="s">
        <v>1906</v>
      </c>
      <c r="C321" s="116" t="s">
        <v>94</v>
      </c>
      <c r="D321" s="116">
        <v>0</v>
      </c>
      <c r="E321" s="136">
        <f ca="1">OFFSET(INDEX(Composições!A:J,MATCH(Orçamentária!A321,Composições!A:A,0),8),2,0)</f>
        <v>0.87352500000000011</v>
      </c>
      <c r="F321" s="137">
        <f t="shared" ca="1" si="12"/>
        <v>0</v>
      </c>
      <c r="G321" s="138" t="e">
        <f>IF(A321&lt;&gt;"",IF(AND(#REF!="Padrão",$H$4=#REF!),BDI!$B$17,IF(AND(#REF!="Padrão",$H$4=#REF!),BDI!#REF!,IF(AND(#REF!="Diferenciado",$H$4=#REF!),BDI!$E$17,IF(AND(#REF!="Diferenciado",$H$4=#REF!),BDI!#REF!,IF(#REF!="ZERO",0))))),"")</f>
        <v>#REF!</v>
      </c>
      <c r="H321" s="139" t="e">
        <f t="shared" ca="1" si="13"/>
        <v>#REF!</v>
      </c>
      <c r="I321" s="137" t="e">
        <f t="shared" ca="1" si="14"/>
        <v>#REF!</v>
      </c>
    </row>
    <row r="322" spans="1:11" hidden="1" x14ac:dyDescent="0.25">
      <c r="A322" s="114" t="s">
        <v>669</v>
      </c>
      <c r="B322" s="115" t="s">
        <v>1907</v>
      </c>
      <c r="C322" s="116" t="s">
        <v>20</v>
      </c>
      <c r="D322" s="116">
        <v>0</v>
      </c>
      <c r="E322" s="136">
        <f ca="1">OFFSET(INDEX(Composições!A:J,MATCH(Orçamentária!A322,Composições!A:A,0),8),2,0)</f>
        <v>33.930646499999995</v>
      </c>
      <c r="F322" s="137">
        <f t="shared" ca="1" si="12"/>
        <v>0</v>
      </c>
      <c r="G322" s="138" t="e">
        <f>IF(A322&lt;&gt;"",IF(AND(#REF!="Padrão",$H$4=#REF!),BDI!$B$17,IF(AND(#REF!="Padrão",$H$4=#REF!),BDI!#REF!,IF(AND(#REF!="Diferenciado",$H$4=#REF!),BDI!$E$17,IF(AND(#REF!="Diferenciado",$H$4=#REF!),BDI!#REF!,IF(#REF!="ZERO",0))))),"")</f>
        <v>#REF!</v>
      </c>
      <c r="H322" s="139" t="e">
        <f t="shared" ca="1" si="13"/>
        <v>#REF!</v>
      </c>
      <c r="I322" s="137" t="e">
        <f t="shared" ca="1" si="14"/>
        <v>#REF!</v>
      </c>
    </row>
    <row r="323" spans="1:11" hidden="1" x14ac:dyDescent="0.25">
      <c r="A323" s="114" t="s">
        <v>673</v>
      </c>
      <c r="B323" s="115" t="s">
        <v>674</v>
      </c>
      <c r="C323" s="116" t="s">
        <v>20</v>
      </c>
      <c r="D323" s="116">
        <v>0</v>
      </c>
      <c r="E323" s="136">
        <f ca="1">OFFSET(INDEX(Composições!A:J,MATCH(Orçamentária!A323,Composições!A:A,0),8),2,0)</f>
        <v>33.930646499999995</v>
      </c>
      <c r="F323" s="137">
        <f t="shared" ca="1" si="12"/>
        <v>0</v>
      </c>
      <c r="G323" s="138" t="e">
        <f>IF(A323&lt;&gt;"",IF(AND(#REF!="Padrão",$H$4=#REF!),BDI!$B$17,IF(AND(#REF!="Padrão",$H$4=#REF!),BDI!#REF!,IF(AND(#REF!="Diferenciado",$H$4=#REF!),BDI!$E$17,IF(AND(#REF!="Diferenciado",$H$4=#REF!),BDI!#REF!,IF(#REF!="ZERO",0))))),"")</f>
        <v>#REF!</v>
      </c>
      <c r="H323" s="139" t="e">
        <f t="shared" ca="1" si="13"/>
        <v>#REF!</v>
      </c>
      <c r="I323" s="137" t="e">
        <f t="shared" ca="1" si="14"/>
        <v>#REF!</v>
      </c>
    </row>
    <row r="324" spans="1:11" hidden="1" x14ac:dyDescent="0.25">
      <c r="A324" s="114" t="s">
        <v>675</v>
      </c>
      <c r="B324" s="115" t="s">
        <v>1908</v>
      </c>
      <c r="C324" s="116" t="s">
        <v>20</v>
      </c>
      <c r="D324" s="116">
        <v>0</v>
      </c>
      <c r="E324" s="136">
        <f ca="1">OFFSET(INDEX(Composições!A:J,MATCH(Orçamentária!A324,Composições!A:A,0),8),2,0)</f>
        <v>29.958098000000003</v>
      </c>
      <c r="F324" s="137">
        <f t="shared" ca="1" si="12"/>
        <v>0</v>
      </c>
      <c r="G324" s="138" t="e">
        <f>IF(A324&lt;&gt;"",IF(AND(#REF!="Padrão",$H$4=#REF!),BDI!$B$17,IF(AND(#REF!="Padrão",$H$4=#REF!),BDI!#REF!,IF(AND(#REF!="Diferenciado",$H$4=#REF!),BDI!$E$17,IF(AND(#REF!="Diferenciado",$H$4=#REF!),BDI!#REF!,IF(#REF!="ZERO",0))))),"")</f>
        <v>#REF!</v>
      </c>
      <c r="H324" s="139" t="e">
        <f t="shared" ca="1" si="13"/>
        <v>#REF!</v>
      </c>
      <c r="I324" s="137" t="e">
        <f t="shared" ca="1" si="14"/>
        <v>#REF!</v>
      </c>
    </row>
    <row r="325" spans="1:11" hidden="1" x14ac:dyDescent="0.25">
      <c r="A325" s="114" t="s">
        <v>677</v>
      </c>
      <c r="B325" s="115" t="s">
        <v>1909</v>
      </c>
      <c r="C325" s="116" t="s">
        <v>20</v>
      </c>
      <c r="D325" s="116">
        <v>0</v>
      </c>
      <c r="E325" s="136">
        <f ca="1">OFFSET(INDEX(Composições!A:J,MATCH(Orçamentária!A325,Composições!A:A,0),8),2,0)</f>
        <v>29.958098000000003</v>
      </c>
      <c r="F325" s="137">
        <f t="shared" ca="1" si="12"/>
        <v>0</v>
      </c>
      <c r="G325" s="138" t="e">
        <f>IF(A325&lt;&gt;"",IF(AND(#REF!="Padrão",$H$4=#REF!),BDI!$B$17,IF(AND(#REF!="Padrão",$H$4=#REF!),BDI!#REF!,IF(AND(#REF!="Diferenciado",$H$4=#REF!),BDI!$E$17,IF(AND(#REF!="Diferenciado",$H$4=#REF!),BDI!#REF!,IF(#REF!="ZERO",0))))),"")</f>
        <v>#REF!</v>
      </c>
      <c r="H325" s="139" t="e">
        <f t="shared" ca="1" si="13"/>
        <v>#REF!</v>
      </c>
      <c r="I325" s="137" t="e">
        <f t="shared" ca="1" si="14"/>
        <v>#REF!</v>
      </c>
    </row>
    <row r="326" spans="1:11" hidden="1" x14ac:dyDescent="0.25">
      <c r="A326" s="114" t="s">
        <v>679</v>
      </c>
      <c r="B326" s="115" t="s">
        <v>1910</v>
      </c>
      <c r="C326" s="116" t="s">
        <v>20</v>
      </c>
      <c r="D326" s="116">
        <v>0</v>
      </c>
      <c r="E326" s="136">
        <f ca="1">OFFSET(INDEX(Composições!A:J,MATCH(Orçamentária!A326,Composições!A:A,0),8),2,0)</f>
        <v>29.958098000000003</v>
      </c>
      <c r="F326" s="137">
        <f t="shared" ca="1" si="12"/>
        <v>0</v>
      </c>
      <c r="G326" s="138" t="e">
        <f>IF(A326&lt;&gt;"",IF(AND(#REF!="Padrão",$H$4=#REF!),BDI!$B$17,IF(AND(#REF!="Padrão",$H$4=#REF!),BDI!#REF!,IF(AND(#REF!="Diferenciado",$H$4=#REF!),BDI!$E$17,IF(AND(#REF!="Diferenciado",$H$4=#REF!),BDI!#REF!,IF(#REF!="ZERO",0))))),"")</f>
        <v>#REF!</v>
      </c>
      <c r="H326" s="139" t="e">
        <f t="shared" ca="1" si="13"/>
        <v>#REF!</v>
      </c>
      <c r="I326" s="137" t="e">
        <f t="shared" ca="1" si="14"/>
        <v>#REF!</v>
      </c>
    </row>
    <row r="327" spans="1:11" hidden="1" x14ac:dyDescent="0.25">
      <c r="A327" s="114" t="s">
        <v>682</v>
      </c>
      <c r="B327" s="115" t="s">
        <v>1911</v>
      </c>
      <c r="C327" s="116" t="s">
        <v>20</v>
      </c>
      <c r="D327" s="116">
        <v>0</v>
      </c>
      <c r="E327" s="136">
        <f ca="1">OFFSET(INDEX(Composições!A:J,MATCH(Orçamentária!A327,Composições!A:A,0),8),2,0)</f>
        <v>29.958098000000003</v>
      </c>
      <c r="F327" s="137">
        <f t="shared" ref="F327:F390" ca="1" si="15">IF(ISNUMBER(E327),D327*E327,"")</f>
        <v>0</v>
      </c>
      <c r="G327" s="138" t="e">
        <f>IF(A327&lt;&gt;"",IF(AND(#REF!="Padrão",$H$4=#REF!),BDI!$B$17,IF(AND(#REF!="Padrão",$H$4=#REF!),BDI!#REF!,IF(AND(#REF!="Diferenciado",$H$4=#REF!),BDI!$E$17,IF(AND(#REF!="Diferenciado",$H$4=#REF!),BDI!#REF!,IF(#REF!="ZERO",0))))),"")</f>
        <v>#REF!</v>
      </c>
      <c r="H327" s="139" t="e">
        <f t="shared" ref="H327:H390" ca="1" si="16">IF(ISNUMBER(E327),ROUND(E327*(1+G327),2),"")</f>
        <v>#REF!</v>
      </c>
      <c r="I327" s="137" t="e">
        <f t="shared" ref="I327:I390" ca="1" si="17">IF(ISNUMBER(E327),ROUND(H327*D327,2),"")</f>
        <v>#REF!</v>
      </c>
    </row>
    <row r="328" spans="1:11" hidden="1" x14ac:dyDescent="0.25">
      <c r="A328" s="114" t="s">
        <v>684</v>
      </c>
      <c r="B328" s="115" t="s">
        <v>1912</v>
      </c>
      <c r="C328" s="116" t="s">
        <v>20</v>
      </c>
      <c r="D328" s="116">
        <v>0</v>
      </c>
      <c r="E328" s="136">
        <f ca="1">OFFSET(INDEX(Composições!A:J,MATCH(Orçamentária!A328,Composições!A:A,0),8),2,0)</f>
        <v>146.81231600000001</v>
      </c>
      <c r="F328" s="137">
        <f t="shared" ca="1" si="15"/>
        <v>0</v>
      </c>
      <c r="G328" s="138" t="e">
        <f>IF(A328&lt;&gt;"",IF(AND(#REF!="Padrão",$H$4=#REF!),BDI!$B$17,IF(AND(#REF!="Padrão",$H$4=#REF!),BDI!#REF!,IF(AND(#REF!="Diferenciado",$H$4=#REF!),BDI!$E$17,IF(AND(#REF!="Diferenciado",$H$4=#REF!),BDI!#REF!,IF(#REF!="ZERO",0))))),"")</f>
        <v>#REF!</v>
      </c>
      <c r="H328" s="139" t="e">
        <f t="shared" ca="1" si="16"/>
        <v>#REF!</v>
      </c>
      <c r="I328" s="137" t="e">
        <f t="shared" ca="1" si="17"/>
        <v>#REF!</v>
      </c>
    </row>
    <row r="329" spans="1:11" hidden="1" x14ac:dyDescent="0.25">
      <c r="A329" s="114" t="s">
        <v>686</v>
      </c>
      <c r="B329" s="115" t="s">
        <v>1913</v>
      </c>
      <c r="C329" s="116" t="s">
        <v>20</v>
      </c>
      <c r="D329" s="116">
        <v>0</v>
      </c>
      <c r="E329" s="136">
        <f ca="1">OFFSET(INDEX(Composições!A:J,MATCH(Orçamentária!A329,Composições!A:A,0),8),2,0)</f>
        <v>127.04281599999999</v>
      </c>
      <c r="F329" s="137">
        <f t="shared" ca="1" si="15"/>
        <v>0</v>
      </c>
      <c r="G329" s="138" t="e">
        <f>IF(A329&lt;&gt;"",IF(AND(#REF!="Padrão",$H$4=#REF!),BDI!$B$17,IF(AND(#REF!="Padrão",$H$4=#REF!),BDI!#REF!,IF(AND(#REF!="Diferenciado",$H$4=#REF!),BDI!$E$17,IF(AND(#REF!="Diferenciado",$H$4=#REF!),BDI!#REF!,IF(#REF!="ZERO",0))))),"")</f>
        <v>#REF!</v>
      </c>
      <c r="H329" s="139" t="e">
        <f t="shared" ca="1" si="16"/>
        <v>#REF!</v>
      </c>
      <c r="I329" s="137" t="e">
        <f t="shared" ca="1" si="17"/>
        <v>#REF!</v>
      </c>
    </row>
    <row r="330" spans="1:11" hidden="1" x14ac:dyDescent="0.25">
      <c r="A330" s="114" t="s">
        <v>688</v>
      </c>
      <c r="B330" s="115" t="s">
        <v>1914</v>
      </c>
      <c r="C330" s="116" t="s">
        <v>20</v>
      </c>
      <c r="D330" s="116">
        <v>0</v>
      </c>
      <c r="E330" s="136">
        <f ca="1">OFFSET(INDEX(Composições!A:J,MATCH(Orçamentária!A330,Composições!A:A,0),8),2,0)</f>
        <v>94.634098000000009</v>
      </c>
      <c r="F330" s="137">
        <f t="shared" ca="1" si="15"/>
        <v>0</v>
      </c>
      <c r="G330" s="138" t="e">
        <f>IF(A330&lt;&gt;"",IF(AND(#REF!="Padrão",$H$4=#REF!),BDI!$B$17,IF(AND(#REF!="Padrão",$H$4=#REF!),BDI!#REF!,IF(AND(#REF!="Diferenciado",$H$4=#REF!),BDI!$E$17,IF(AND(#REF!="Diferenciado",$H$4=#REF!),BDI!#REF!,IF(#REF!="ZERO",0))))),"")</f>
        <v>#REF!</v>
      </c>
      <c r="H330" s="139" t="e">
        <f t="shared" ca="1" si="16"/>
        <v>#REF!</v>
      </c>
      <c r="I330" s="137" t="e">
        <f t="shared" ca="1" si="17"/>
        <v>#REF!</v>
      </c>
    </row>
    <row r="331" spans="1:11" x14ac:dyDescent="0.25">
      <c r="A331" s="187" t="s">
        <v>690</v>
      </c>
      <c r="B331" s="188" t="s">
        <v>1915</v>
      </c>
      <c r="C331" s="189" t="s">
        <v>20</v>
      </c>
      <c r="D331" s="189">
        <v>1</v>
      </c>
      <c r="E331" s="136">
        <f ca="1">OFFSET(INDEX(Composições!A:J,MATCH(Orçamentária!A331,Composições!A:A,0),8),2,0)</f>
        <v>77.866597999999996</v>
      </c>
      <c r="F331" s="137">
        <f t="shared" ca="1" si="15"/>
        <v>77.866597999999996</v>
      </c>
      <c r="G331" s="138">
        <f>BDI!$B$17</f>
        <v>0.191</v>
      </c>
      <c r="H331" s="139">
        <f t="shared" ca="1" si="16"/>
        <v>92.74</v>
      </c>
      <c r="I331" s="137">
        <f t="shared" ca="1" si="17"/>
        <v>92.74</v>
      </c>
      <c r="K331" s="182"/>
    </row>
    <row r="332" spans="1:11" x14ac:dyDescent="0.25">
      <c r="A332" s="187" t="s">
        <v>692</v>
      </c>
      <c r="B332" s="188" t="s">
        <v>1916</v>
      </c>
      <c r="C332" s="189" t="s">
        <v>96</v>
      </c>
      <c r="D332" s="189">
        <v>2</v>
      </c>
      <c r="E332" s="136">
        <f ca="1">OFFSET(INDEX(Composições!A:J,MATCH(Orçamentária!A332,Composições!A:A,0),8),2,0)</f>
        <v>124.38080000000001</v>
      </c>
      <c r="F332" s="137">
        <f t="shared" ca="1" si="15"/>
        <v>248.76160000000002</v>
      </c>
      <c r="G332" s="138">
        <f>BDI!$B$17</f>
        <v>0.191</v>
      </c>
      <c r="H332" s="139">
        <f t="shared" ca="1" si="16"/>
        <v>148.13999999999999</v>
      </c>
      <c r="I332" s="137">
        <f t="shared" ca="1" si="17"/>
        <v>296.27999999999997</v>
      </c>
      <c r="K332" s="182"/>
    </row>
    <row r="333" spans="1:11" hidden="1" x14ac:dyDescent="0.25">
      <c r="A333" s="114" t="s">
        <v>694</v>
      </c>
      <c r="B333" s="115" t="s">
        <v>1917</v>
      </c>
      <c r="C333" s="116" t="s">
        <v>94</v>
      </c>
      <c r="D333" s="116">
        <v>0</v>
      </c>
      <c r="E333" s="136">
        <f ca="1">OFFSET(INDEX(Composições!A:J,MATCH(Orçamentária!A333,Composições!A:A,0),8),2,0)</f>
        <v>0.73944959999999993</v>
      </c>
      <c r="F333" s="137">
        <f t="shared" ca="1" si="15"/>
        <v>0</v>
      </c>
      <c r="G333" s="138" t="e">
        <f>IF(A333&lt;&gt;"",IF(AND(#REF!="Padrão",$H$4=#REF!),BDI!$B$17,IF(AND(#REF!="Padrão",$H$4=#REF!),BDI!#REF!,IF(AND(#REF!="Diferenciado",$H$4=#REF!),BDI!$E$17,IF(AND(#REF!="Diferenciado",$H$4=#REF!),BDI!#REF!,IF(#REF!="ZERO",0))))),"")</f>
        <v>#REF!</v>
      </c>
      <c r="H333" s="139" t="e">
        <f t="shared" ca="1" si="16"/>
        <v>#REF!</v>
      </c>
      <c r="I333" s="137" t="e">
        <f t="shared" ca="1" si="17"/>
        <v>#REF!</v>
      </c>
    </row>
    <row r="334" spans="1:11" hidden="1" x14ac:dyDescent="0.25">
      <c r="A334" s="114" t="s">
        <v>697</v>
      </c>
      <c r="B334" s="115" t="s">
        <v>1918</v>
      </c>
      <c r="C334" s="116" t="s">
        <v>94</v>
      </c>
      <c r="D334" s="116">
        <v>0</v>
      </c>
      <c r="E334" s="136">
        <f ca="1">OFFSET(INDEX(Composições!A:J,MATCH(Orçamentária!A334,Composições!A:A,0),8),2,0)</f>
        <v>0.70478790000000002</v>
      </c>
      <c r="F334" s="137">
        <f t="shared" ca="1" si="15"/>
        <v>0</v>
      </c>
      <c r="G334" s="138" t="e">
        <f>IF(A334&lt;&gt;"",IF(AND(#REF!="Padrão",$H$4=#REF!),BDI!$B$17,IF(AND(#REF!="Padrão",$H$4=#REF!),BDI!#REF!,IF(AND(#REF!="Diferenciado",$H$4=#REF!),BDI!$E$17,IF(AND(#REF!="Diferenciado",$H$4=#REF!),BDI!#REF!,IF(#REF!="ZERO",0))))),"")</f>
        <v>#REF!</v>
      </c>
      <c r="H334" s="139" t="e">
        <f t="shared" ca="1" si="16"/>
        <v>#REF!</v>
      </c>
      <c r="I334" s="137" t="e">
        <f t="shared" ca="1" si="17"/>
        <v>#REF!</v>
      </c>
    </row>
    <row r="335" spans="1:11" hidden="1" x14ac:dyDescent="0.25">
      <c r="A335" s="114" t="s">
        <v>699</v>
      </c>
      <c r="B335" s="115" t="s">
        <v>1919</v>
      </c>
      <c r="C335" s="116" t="s">
        <v>94</v>
      </c>
      <c r="D335" s="116">
        <v>0</v>
      </c>
      <c r="E335" s="136">
        <f ca="1">OFFSET(INDEX(Composições!A:J,MATCH(Orçamentária!A335,Composições!A:A,0),8),2,0)</f>
        <v>0.60080279999999997</v>
      </c>
      <c r="F335" s="137">
        <f t="shared" ca="1" si="15"/>
        <v>0</v>
      </c>
      <c r="G335" s="138" t="e">
        <f>IF(A335&lt;&gt;"",IF(AND(#REF!="Padrão",$H$4=#REF!),BDI!$B$17,IF(AND(#REF!="Padrão",$H$4=#REF!),BDI!#REF!,IF(AND(#REF!="Diferenciado",$H$4=#REF!),BDI!$E$17,IF(AND(#REF!="Diferenciado",$H$4=#REF!),BDI!#REF!,IF(#REF!="ZERO",0))))),"")</f>
        <v>#REF!</v>
      </c>
      <c r="H335" s="139" t="e">
        <f t="shared" ca="1" si="16"/>
        <v>#REF!</v>
      </c>
      <c r="I335" s="137" t="e">
        <f t="shared" ca="1" si="17"/>
        <v>#REF!</v>
      </c>
    </row>
    <row r="336" spans="1:11" hidden="1" x14ac:dyDescent="0.25">
      <c r="A336" s="114" t="s">
        <v>701</v>
      </c>
      <c r="B336" s="115" t="s">
        <v>1920</v>
      </c>
      <c r="C336" s="116" t="s">
        <v>94</v>
      </c>
      <c r="D336" s="116">
        <v>0</v>
      </c>
      <c r="E336" s="136">
        <f ca="1">OFFSET(INDEX(Composições!A:J,MATCH(Orçamentária!A336,Composições!A:A,0),8),2,0)</f>
        <v>0.73944959999999993</v>
      </c>
      <c r="F336" s="137">
        <f t="shared" ca="1" si="15"/>
        <v>0</v>
      </c>
      <c r="G336" s="138" t="e">
        <f>IF(A336&lt;&gt;"",IF(AND(#REF!="Padrão",$H$4=#REF!),BDI!$B$17,IF(AND(#REF!="Padrão",$H$4=#REF!),BDI!#REF!,IF(AND(#REF!="Diferenciado",$H$4=#REF!),BDI!$E$17,IF(AND(#REF!="Diferenciado",$H$4=#REF!),BDI!#REF!,IF(#REF!="ZERO",0))))),"")</f>
        <v>#REF!</v>
      </c>
      <c r="H336" s="139" t="e">
        <f t="shared" ca="1" si="16"/>
        <v>#REF!</v>
      </c>
      <c r="I336" s="137" t="e">
        <f t="shared" ca="1" si="17"/>
        <v>#REF!</v>
      </c>
    </row>
    <row r="337" spans="1:11" hidden="1" x14ac:dyDescent="0.25">
      <c r="A337" s="114" t="s">
        <v>703</v>
      </c>
      <c r="B337" s="115" t="s">
        <v>1921</v>
      </c>
      <c r="C337" s="116" t="s">
        <v>94</v>
      </c>
      <c r="D337" s="116">
        <v>0</v>
      </c>
      <c r="E337" s="136">
        <f ca="1">OFFSET(INDEX(Composições!A:J,MATCH(Orçamentária!A337,Composições!A:A,0),8),2,0)</f>
        <v>0.65857230000000011</v>
      </c>
      <c r="F337" s="137">
        <f t="shared" ca="1" si="15"/>
        <v>0</v>
      </c>
      <c r="G337" s="138" t="e">
        <f>IF(A337&lt;&gt;"",IF(AND(#REF!="Padrão",$H$4=#REF!),BDI!$B$17,IF(AND(#REF!="Padrão",$H$4=#REF!),BDI!#REF!,IF(AND(#REF!="Diferenciado",$H$4=#REF!),BDI!$E$17,IF(AND(#REF!="Diferenciado",$H$4=#REF!),BDI!#REF!,IF(#REF!="ZERO",0))))),"")</f>
        <v>#REF!</v>
      </c>
      <c r="H337" s="139" t="e">
        <f t="shared" ca="1" si="16"/>
        <v>#REF!</v>
      </c>
      <c r="I337" s="137" t="e">
        <f t="shared" ca="1" si="17"/>
        <v>#REF!</v>
      </c>
    </row>
    <row r="338" spans="1:11" hidden="1" x14ac:dyDescent="0.25">
      <c r="A338" s="114" t="s">
        <v>705</v>
      </c>
      <c r="B338" s="115" t="s">
        <v>1922</v>
      </c>
      <c r="C338" s="116" t="s">
        <v>94</v>
      </c>
      <c r="D338" s="116">
        <v>0</v>
      </c>
      <c r="E338" s="136">
        <f ca="1">OFFSET(INDEX(Composições!A:J,MATCH(Orçamentária!A338,Composições!A:A,0),8),2,0)</f>
        <v>0.73944959999999993</v>
      </c>
      <c r="F338" s="137">
        <f t="shared" ca="1" si="15"/>
        <v>0</v>
      </c>
      <c r="G338" s="138" t="e">
        <f>IF(A338&lt;&gt;"",IF(AND(#REF!="Padrão",$H$4=#REF!),BDI!$B$17,IF(AND(#REF!="Padrão",$H$4=#REF!),BDI!#REF!,IF(AND(#REF!="Diferenciado",$H$4=#REF!),BDI!$E$17,IF(AND(#REF!="Diferenciado",$H$4=#REF!),BDI!#REF!,IF(#REF!="ZERO",0))))),"")</f>
        <v>#REF!</v>
      </c>
      <c r="H338" s="139" t="e">
        <f t="shared" ca="1" si="16"/>
        <v>#REF!</v>
      </c>
      <c r="I338" s="137" t="e">
        <f t="shared" ca="1" si="17"/>
        <v>#REF!</v>
      </c>
    </row>
    <row r="339" spans="1:11" hidden="1" x14ac:dyDescent="0.25">
      <c r="A339" s="114" t="s">
        <v>707</v>
      </c>
      <c r="B339" s="115" t="s">
        <v>1923</v>
      </c>
      <c r="C339" s="116" t="s">
        <v>94</v>
      </c>
      <c r="D339" s="116">
        <v>0</v>
      </c>
      <c r="E339" s="136">
        <f ca="1">OFFSET(INDEX(Composições!A:J,MATCH(Orçamentária!A339,Composições!A:A,0),8),2,0)</f>
        <v>0.73944959999999993</v>
      </c>
      <c r="F339" s="137">
        <f t="shared" ca="1" si="15"/>
        <v>0</v>
      </c>
      <c r="G339" s="138" t="e">
        <f>IF(A339&lt;&gt;"",IF(AND(#REF!="Padrão",$H$4=#REF!),BDI!$B$17,IF(AND(#REF!="Padrão",$H$4=#REF!),BDI!#REF!,IF(AND(#REF!="Diferenciado",$H$4=#REF!),BDI!$E$17,IF(AND(#REF!="Diferenciado",$H$4=#REF!),BDI!#REF!,IF(#REF!="ZERO",0))))),"")</f>
        <v>#REF!</v>
      </c>
      <c r="H339" s="139" t="e">
        <f t="shared" ca="1" si="16"/>
        <v>#REF!</v>
      </c>
      <c r="I339" s="137" t="e">
        <f t="shared" ca="1" si="17"/>
        <v>#REF!</v>
      </c>
    </row>
    <row r="340" spans="1:11" hidden="1" x14ac:dyDescent="0.25">
      <c r="A340" s="114" t="s">
        <v>709</v>
      </c>
      <c r="B340" s="115" t="s">
        <v>1924</v>
      </c>
      <c r="C340" s="116" t="s">
        <v>94</v>
      </c>
      <c r="D340" s="116">
        <v>0</v>
      </c>
      <c r="E340" s="136">
        <f ca="1">OFFSET(INDEX(Composições!A:J,MATCH(Orçamentária!A340,Composições!A:A,0),8),2,0)</f>
        <v>0.73944959999999993</v>
      </c>
      <c r="F340" s="137">
        <f t="shared" ca="1" si="15"/>
        <v>0</v>
      </c>
      <c r="G340" s="138" t="e">
        <f>IF(A340&lt;&gt;"",IF(AND(#REF!="Padrão",$H$4=#REF!),BDI!$B$17,IF(AND(#REF!="Padrão",$H$4=#REF!),BDI!#REF!,IF(AND(#REF!="Diferenciado",$H$4=#REF!),BDI!$E$17,IF(AND(#REF!="Diferenciado",$H$4=#REF!),BDI!#REF!,IF(#REF!="ZERO",0))))),"")</f>
        <v>#REF!</v>
      </c>
      <c r="H340" s="139" t="e">
        <f t="shared" ca="1" si="16"/>
        <v>#REF!</v>
      </c>
      <c r="I340" s="137" t="e">
        <f t="shared" ca="1" si="17"/>
        <v>#REF!</v>
      </c>
    </row>
    <row r="341" spans="1:11" hidden="1" x14ac:dyDescent="0.25">
      <c r="A341" s="114" t="s">
        <v>711</v>
      </c>
      <c r="B341" s="115" t="s">
        <v>1925</v>
      </c>
      <c r="C341" s="116" t="s">
        <v>94</v>
      </c>
      <c r="D341" s="116">
        <v>0</v>
      </c>
      <c r="E341" s="136">
        <f ca="1">OFFSET(INDEX(Composições!A:J,MATCH(Orçamentária!A341,Composições!A:A,0),8),2,0)</f>
        <v>0.73944959999999993</v>
      </c>
      <c r="F341" s="137">
        <f t="shared" ca="1" si="15"/>
        <v>0</v>
      </c>
      <c r="G341" s="138" t="e">
        <f>IF(A341&lt;&gt;"",IF(AND(#REF!="Padrão",$H$4=#REF!),BDI!$B$17,IF(AND(#REF!="Padrão",$H$4=#REF!),BDI!#REF!,IF(AND(#REF!="Diferenciado",$H$4=#REF!),BDI!$E$17,IF(AND(#REF!="Diferenciado",$H$4=#REF!),BDI!#REF!,IF(#REF!="ZERO",0))))),"")</f>
        <v>#REF!</v>
      </c>
      <c r="H341" s="139" t="e">
        <f t="shared" ca="1" si="16"/>
        <v>#REF!</v>
      </c>
      <c r="I341" s="137" t="e">
        <f t="shared" ca="1" si="17"/>
        <v>#REF!</v>
      </c>
    </row>
    <row r="342" spans="1:11" hidden="1" x14ac:dyDescent="0.25">
      <c r="A342" s="114" t="s">
        <v>713</v>
      </c>
      <c r="B342" s="115" t="s">
        <v>1926</v>
      </c>
      <c r="C342" s="116" t="s">
        <v>94</v>
      </c>
      <c r="D342" s="116">
        <v>0</v>
      </c>
      <c r="E342" s="136">
        <f ca="1">OFFSET(INDEX(Composições!A:J,MATCH(Orçamentária!A342,Composições!A:A,0),8),2,0)</f>
        <v>0.73944959999999993</v>
      </c>
      <c r="F342" s="137">
        <f t="shared" ca="1" si="15"/>
        <v>0</v>
      </c>
      <c r="G342" s="138" t="e">
        <f>IF(A342&lt;&gt;"",IF(AND(#REF!="Padrão",$H$4=#REF!),BDI!$B$17,IF(AND(#REF!="Padrão",$H$4=#REF!),BDI!#REF!,IF(AND(#REF!="Diferenciado",$H$4=#REF!),BDI!$E$17,IF(AND(#REF!="Diferenciado",$H$4=#REF!),BDI!#REF!,IF(#REF!="ZERO",0))))),"")</f>
        <v>#REF!</v>
      </c>
      <c r="H342" s="139" t="e">
        <f t="shared" ca="1" si="16"/>
        <v>#REF!</v>
      </c>
      <c r="I342" s="137" t="e">
        <f t="shared" ca="1" si="17"/>
        <v>#REF!</v>
      </c>
    </row>
    <row r="343" spans="1:11" hidden="1" x14ac:dyDescent="0.25">
      <c r="A343" s="114" t="s">
        <v>715</v>
      </c>
      <c r="B343" s="115" t="s">
        <v>1927</v>
      </c>
      <c r="C343" s="116" t="s">
        <v>94</v>
      </c>
      <c r="D343" s="116">
        <v>0</v>
      </c>
      <c r="E343" s="136">
        <f ca="1">OFFSET(INDEX(Composições!A:J,MATCH(Orçamentária!A343,Composições!A:A,0),8),2,0)</f>
        <v>0.73944959999999993</v>
      </c>
      <c r="F343" s="137">
        <f t="shared" ca="1" si="15"/>
        <v>0</v>
      </c>
      <c r="G343" s="138" t="e">
        <f>IF(A343&lt;&gt;"",IF(AND(#REF!="Padrão",$H$4=#REF!),BDI!$B$17,IF(AND(#REF!="Padrão",$H$4=#REF!),BDI!#REF!,IF(AND(#REF!="Diferenciado",$H$4=#REF!),BDI!$E$17,IF(AND(#REF!="Diferenciado",$H$4=#REF!),BDI!#REF!,IF(#REF!="ZERO",0))))),"")</f>
        <v>#REF!</v>
      </c>
      <c r="H343" s="139" t="e">
        <f t="shared" ca="1" si="16"/>
        <v>#REF!</v>
      </c>
      <c r="I343" s="137" t="e">
        <f t="shared" ca="1" si="17"/>
        <v>#REF!</v>
      </c>
    </row>
    <row r="344" spans="1:11" x14ac:dyDescent="0.25">
      <c r="A344" s="187" t="s">
        <v>717</v>
      </c>
      <c r="B344" s="188" t="s">
        <v>1928</v>
      </c>
      <c r="C344" s="189" t="s">
        <v>96</v>
      </c>
      <c r="D344" s="189">
        <v>123</v>
      </c>
      <c r="E344" s="136">
        <f ca="1">OFFSET(INDEX(Composições!A:J,MATCH(Orçamentária!A344,Composições!A:A,0),8),2,0)</f>
        <v>39.759100000000004</v>
      </c>
      <c r="F344" s="137">
        <f t="shared" ca="1" si="15"/>
        <v>4890.3693000000003</v>
      </c>
      <c r="G344" s="138">
        <f>BDI!$E$17</f>
        <v>0.11260000000000001</v>
      </c>
      <c r="H344" s="139">
        <f t="shared" ca="1" si="16"/>
        <v>44.24</v>
      </c>
      <c r="I344" s="137">
        <f t="shared" ca="1" si="17"/>
        <v>5441.52</v>
      </c>
      <c r="K344" s="182"/>
    </row>
    <row r="345" spans="1:11" hidden="1" x14ac:dyDescent="0.25">
      <c r="A345" s="114" t="s">
        <v>719</v>
      </c>
      <c r="B345" s="115" t="s">
        <v>1929</v>
      </c>
      <c r="C345" s="116" t="s">
        <v>94</v>
      </c>
      <c r="D345" s="116">
        <v>0</v>
      </c>
      <c r="E345" s="136">
        <f ca="1">OFFSET(INDEX(Composições!A:J,MATCH(Orçamentária!A345,Composições!A:A,0),8),2,0)</f>
        <v>82.787179999999992</v>
      </c>
      <c r="F345" s="137">
        <f t="shared" ca="1" si="15"/>
        <v>0</v>
      </c>
      <c r="G345" s="138" t="e">
        <f>IF(A345&lt;&gt;"",IF(AND(#REF!="Padrão",$H$4=#REF!),BDI!$B$17,IF(AND(#REF!="Padrão",$H$4=#REF!),BDI!#REF!,IF(AND(#REF!="Diferenciado",$H$4=#REF!),BDI!$E$17,IF(AND(#REF!="Diferenciado",$H$4=#REF!),BDI!#REF!,IF(#REF!="ZERO",0))))),"")</f>
        <v>#REF!</v>
      </c>
      <c r="H345" s="139" t="e">
        <f t="shared" ca="1" si="16"/>
        <v>#REF!</v>
      </c>
      <c r="I345" s="137" t="e">
        <f t="shared" ca="1" si="17"/>
        <v>#REF!</v>
      </c>
    </row>
    <row r="346" spans="1:11" hidden="1" x14ac:dyDescent="0.25">
      <c r="A346" s="114" t="s">
        <v>721</v>
      </c>
      <c r="B346" s="115" t="s">
        <v>1930</v>
      </c>
      <c r="C346" s="116" t="s">
        <v>94</v>
      </c>
      <c r="D346" s="116">
        <v>0</v>
      </c>
      <c r="E346" s="136">
        <f ca="1">OFFSET(INDEX(Composições!A:J,MATCH(Orçamentária!A346,Composições!A:A,0),8),2,0)</f>
        <v>76.239770499999992</v>
      </c>
      <c r="F346" s="137">
        <f t="shared" ca="1" si="15"/>
        <v>0</v>
      </c>
      <c r="G346" s="138" t="e">
        <f>IF(A346&lt;&gt;"",IF(AND(#REF!="Padrão",$H$4=#REF!),BDI!$B$17,IF(AND(#REF!="Padrão",$H$4=#REF!),BDI!#REF!,IF(AND(#REF!="Diferenciado",$H$4=#REF!),BDI!$E$17,IF(AND(#REF!="Diferenciado",$H$4=#REF!),BDI!#REF!,IF(#REF!="ZERO",0))))),"")</f>
        <v>#REF!</v>
      </c>
      <c r="H346" s="139" t="e">
        <f t="shared" ca="1" si="16"/>
        <v>#REF!</v>
      </c>
      <c r="I346" s="137" t="e">
        <f t="shared" ca="1" si="17"/>
        <v>#REF!</v>
      </c>
    </row>
    <row r="347" spans="1:11" hidden="1" x14ac:dyDescent="0.25">
      <c r="A347" s="114" t="s">
        <v>722</v>
      </c>
      <c r="B347" s="115" t="s">
        <v>1931</v>
      </c>
      <c r="C347" s="116" t="s">
        <v>94</v>
      </c>
      <c r="D347" s="116">
        <v>0</v>
      </c>
      <c r="E347" s="136">
        <f ca="1">OFFSET(INDEX(Composições!A:J,MATCH(Orçamentária!A347,Composições!A:A,0),8),2,0)</f>
        <v>60.425652499999998</v>
      </c>
      <c r="F347" s="137">
        <f t="shared" ca="1" si="15"/>
        <v>0</v>
      </c>
      <c r="G347" s="138" t="e">
        <f>IF(A347&lt;&gt;"",IF(AND(#REF!="Padrão",$H$4=#REF!),BDI!$B$17,IF(AND(#REF!="Padrão",$H$4=#REF!),BDI!#REF!,IF(AND(#REF!="Diferenciado",$H$4=#REF!),BDI!$E$17,IF(AND(#REF!="Diferenciado",$H$4=#REF!),BDI!#REF!,IF(#REF!="ZERO",0))))),"")</f>
        <v>#REF!</v>
      </c>
      <c r="H347" s="139" t="e">
        <f t="shared" ca="1" si="16"/>
        <v>#REF!</v>
      </c>
      <c r="I347" s="137" t="e">
        <f t="shared" ca="1" si="17"/>
        <v>#REF!</v>
      </c>
    </row>
    <row r="348" spans="1:11" hidden="1" x14ac:dyDescent="0.25">
      <c r="A348" s="114" t="s">
        <v>723</v>
      </c>
      <c r="B348" s="115" t="s">
        <v>1932</v>
      </c>
      <c r="C348" s="116" t="s">
        <v>94</v>
      </c>
      <c r="D348" s="116">
        <v>0</v>
      </c>
      <c r="E348" s="136">
        <f ca="1">OFFSET(INDEX(Composições!A:J,MATCH(Orçamentária!A348,Composições!A:A,0),8),2,0)</f>
        <v>54.967265999999995</v>
      </c>
      <c r="F348" s="137">
        <f t="shared" ca="1" si="15"/>
        <v>0</v>
      </c>
      <c r="G348" s="138" t="e">
        <f>IF(A348&lt;&gt;"",IF(AND(#REF!="Padrão",$H$4=#REF!),BDI!$B$17,IF(AND(#REF!="Padrão",$H$4=#REF!),BDI!#REF!,IF(AND(#REF!="Diferenciado",$H$4=#REF!),BDI!$E$17,IF(AND(#REF!="Diferenciado",$H$4=#REF!),BDI!#REF!,IF(#REF!="ZERO",0))))),"")</f>
        <v>#REF!</v>
      </c>
      <c r="H348" s="139" t="e">
        <f t="shared" ca="1" si="16"/>
        <v>#REF!</v>
      </c>
      <c r="I348" s="137" t="e">
        <f t="shared" ca="1" si="17"/>
        <v>#REF!</v>
      </c>
    </row>
    <row r="349" spans="1:11" hidden="1" x14ac:dyDescent="0.25">
      <c r="A349" s="114" t="s">
        <v>725</v>
      </c>
      <c r="B349" s="115" t="s">
        <v>1933</v>
      </c>
      <c r="C349" s="116" t="s">
        <v>94</v>
      </c>
      <c r="D349" s="116">
        <v>0</v>
      </c>
      <c r="E349" s="136">
        <f ca="1">OFFSET(INDEX(Composições!A:J,MATCH(Orçamentária!A349,Composições!A:A,0),8),2,0)</f>
        <v>36.537023749999989</v>
      </c>
      <c r="F349" s="137">
        <f t="shared" ca="1" si="15"/>
        <v>0</v>
      </c>
      <c r="G349" s="138" t="e">
        <f>IF(A349&lt;&gt;"",IF(AND(#REF!="Padrão",$H$4=#REF!),BDI!$B$17,IF(AND(#REF!="Padrão",$H$4=#REF!),BDI!#REF!,IF(AND(#REF!="Diferenciado",$H$4=#REF!),BDI!$E$17,IF(AND(#REF!="Diferenciado",$H$4=#REF!),BDI!#REF!,IF(#REF!="ZERO",0))))),"")</f>
        <v>#REF!</v>
      </c>
      <c r="H349" s="139" t="e">
        <f t="shared" ca="1" si="16"/>
        <v>#REF!</v>
      </c>
      <c r="I349" s="137" t="e">
        <f t="shared" ca="1" si="17"/>
        <v>#REF!</v>
      </c>
    </row>
    <row r="350" spans="1:11" hidden="1" x14ac:dyDescent="0.25">
      <c r="A350" s="114" t="s">
        <v>727</v>
      </c>
      <c r="B350" s="115" t="s">
        <v>1934</v>
      </c>
      <c r="C350" s="116" t="s">
        <v>94</v>
      </c>
      <c r="D350" s="116">
        <v>0</v>
      </c>
      <c r="E350" s="136">
        <f ca="1">OFFSET(INDEX(Composições!A:J,MATCH(Orçamentária!A350,Composições!A:A,0),8),2,0)</f>
        <v>18.125448999999996</v>
      </c>
      <c r="F350" s="137">
        <f t="shared" ca="1" si="15"/>
        <v>0</v>
      </c>
      <c r="G350" s="138" t="e">
        <f>IF(A350&lt;&gt;"",IF(AND(#REF!="Padrão",$H$4=#REF!),BDI!$B$17,IF(AND(#REF!="Padrão",$H$4=#REF!),BDI!#REF!,IF(AND(#REF!="Diferenciado",$H$4=#REF!),BDI!$E$17,IF(AND(#REF!="Diferenciado",$H$4=#REF!),BDI!#REF!,IF(#REF!="ZERO",0))))),"")</f>
        <v>#REF!</v>
      </c>
      <c r="H350" s="139" t="e">
        <f t="shared" ca="1" si="16"/>
        <v>#REF!</v>
      </c>
      <c r="I350" s="137" t="e">
        <f t="shared" ca="1" si="17"/>
        <v>#REF!</v>
      </c>
    </row>
    <row r="351" spans="1:11" hidden="1" x14ac:dyDescent="0.25">
      <c r="A351" s="114" t="s">
        <v>729</v>
      </c>
      <c r="B351" s="115" t="s">
        <v>1935</v>
      </c>
      <c r="C351" s="116" t="s">
        <v>94</v>
      </c>
      <c r="D351" s="116">
        <v>0</v>
      </c>
      <c r="E351" s="136">
        <f ca="1">OFFSET(INDEX(Composições!A:J,MATCH(Orçamentária!A351,Composições!A:A,0),8),2,0)</f>
        <v>54.214517349999994</v>
      </c>
      <c r="F351" s="137">
        <f t="shared" ca="1" si="15"/>
        <v>0</v>
      </c>
      <c r="G351" s="138" t="e">
        <f>IF(A351&lt;&gt;"",IF(AND(#REF!="Padrão",$H$4=#REF!),BDI!$B$17,IF(AND(#REF!="Padrão",$H$4=#REF!),BDI!#REF!,IF(AND(#REF!="Diferenciado",$H$4=#REF!),BDI!$E$17,IF(AND(#REF!="Diferenciado",$H$4=#REF!),BDI!#REF!,IF(#REF!="ZERO",0))))),"")</f>
        <v>#REF!</v>
      </c>
      <c r="H351" s="139" t="e">
        <f t="shared" ca="1" si="16"/>
        <v>#REF!</v>
      </c>
      <c r="I351" s="137" t="e">
        <f t="shared" ca="1" si="17"/>
        <v>#REF!</v>
      </c>
    </row>
    <row r="352" spans="1:11" hidden="1" x14ac:dyDescent="0.25">
      <c r="A352" s="114" t="s">
        <v>731</v>
      </c>
      <c r="B352" s="115" t="s">
        <v>1936</v>
      </c>
      <c r="C352" s="116" t="s">
        <v>94</v>
      </c>
      <c r="D352" s="116">
        <v>0</v>
      </c>
      <c r="E352" s="136">
        <f ca="1">OFFSET(INDEX(Composições!A:J,MATCH(Orçamentária!A352,Composições!A:A,0),8),2,0)</f>
        <v>27.262262099999997</v>
      </c>
      <c r="F352" s="137">
        <f t="shared" ca="1" si="15"/>
        <v>0</v>
      </c>
      <c r="G352" s="138" t="e">
        <f>IF(A352&lt;&gt;"",IF(AND(#REF!="Padrão",$H$4=#REF!),BDI!$B$17,IF(AND(#REF!="Padrão",$H$4=#REF!),BDI!#REF!,IF(AND(#REF!="Diferenciado",$H$4=#REF!),BDI!$E$17,IF(AND(#REF!="Diferenciado",$H$4=#REF!),BDI!#REF!,IF(#REF!="ZERO",0))))),"")</f>
        <v>#REF!</v>
      </c>
      <c r="H352" s="139" t="e">
        <f t="shared" ca="1" si="16"/>
        <v>#REF!</v>
      </c>
      <c r="I352" s="137" t="e">
        <f t="shared" ca="1" si="17"/>
        <v>#REF!</v>
      </c>
    </row>
    <row r="353" spans="1:9" hidden="1" x14ac:dyDescent="0.25">
      <c r="A353" s="114" t="s">
        <v>733</v>
      </c>
      <c r="B353" s="115" t="s">
        <v>1937</v>
      </c>
      <c r="C353" s="116" t="s">
        <v>94</v>
      </c>
      <c r="D353" s="116">
        <v>0</v>
      </c>
      <c r="E353" s="136">
        <f ca="1">OFFSET(INDEX(Composições!A:J,MATCH(Orçamentária!A353,Composições!A:A,0),8),2,0)</f>
        <v>45.125195699999999</v>
      </c>
      <c r="F353" s="137">
        <f t="shared" ca="1" si="15"/>
        <v>0</v>
      </c>
      <c r="G353" s="138" t="e">
        <f>IF(A353&lt;&gt;"",IF(AND(#REF!="Padrão",$H$4=#REF!),BDI!$B$17,IF(AND(#REF!="Padrão",$H$4=#REF!),BDI!#REF!,IF(AND(#REF!="Diferenciado",$H$4=#REF!),BDI!$E$17,IF(AND(#REF!="Diferenciado",$H$4=#REF!),BDI!#REF!,IF(#REF!="ZERO",0))))),"")</f>
        <v>#REF!</v>
      </c>
      <c r="H353" s="139" t="e">
        <f t="shared" ca="1" si="16"/>
        <v>#REF!</v>
      </c>
      <c r="I353" s="137" t="e">
        <f t="shared" ca="1" si="17"/>
        <v>#REF!</v>
      </c>
    </row>
    <row r="354" spans="1:9" hidden="1" x14ac:dyDescent="0.25">
      <c r="A354" s="114" t="s">
        <v>735</v>
      </c>
      <c r="B354" s="115" t="s">
        <v>1938</v>
      </c>
      <c r="C354" s="116" t="s">
        <v>94</v>
      </c>
      <c r="D354" s="116">
        <v>0</v>
      </c>
      <c r="E354" s="136">
        <f ca="1">OFFSET(INDEX(Composições!A:J,MATCH(Orçamentária!A354,Composições!A:A,0),8),2,0)</f>
        <v>2.6954273999999998</v>
      </c>
      <c r="F354" s="137">
        <f t="shared" ca="1" si="15"/>
        <v>0</v>
      </c>
      <c r="G354" s="138" t="e">
        <f>IF(A354&lt;&gt;"",IF(AND(#REF!="Padrão",$H$4=#REF!),BDI!$B$17,IF(AND(#REF!="Padrão",$H$4=#REF!),BDI!#REF!,IF(AND(#REF!="Diferenciado",$H$4=#REF!),BDI!$E$17,IF(AND(#REF!="Diferenciado",$H$4=#REF!),BDI!#REF!,IF(#REF!="ZERO",0))))),"")</f>
        <v>#REF!</v>
      </c>
      <c r="H354" s="139" t="e">
        <f t="shared" ca="1" si="16"/>
        <v>#REF!</v>
      </c>
      <c r="I354" s="137" t="e">
        <f t="shared" ca="1" si="17"/>
        <v>#REF!</v>
      </c>
    </row>
    <row r="355" spans="1:9" hidden="1" x14ac:dyDescent="0.25">
      <c r="A355" s="114" t="s">
        <v>737</v>
      </c>
      <c r="B355" s="115" t="s">
        <v>1939</v>
      </c>
      <c r="C355" s="116" t="s">
        <v>94</v>
      </c>
      <c r="D355" s="116">
        <v>0</v>
      </c>
      <c r="E355" s="136">
        <f ca="1">OFFSET(INDEX(Composições!A:J,MATCH(Orçamentária!A355,Composições!A:A,0),8),2,0)</f>
        <v>2.6954273999999998</v>
      </c>
      <c r="F355" s="137">
        <f t="shared" ca="1" si="15"/>
        <v>0</v>
      </c>
      <c r="G355" s="138" t="e">
        <f>IF(A355&lt;&gt;"",IF(AND(#REF!="Padrão",$H$4=#REF!),BDI!$B$17,IF(AND(#REF!="Padrão",$H$4=#REF!),BDI!#REF!,IF(AND(#REF!="Diferenciado",$H$4=#REF!),BDI!$E$17,IF(AND(#REF!="Diferenciado",$H$4=#REF!),BDI!#REF!,IF(#REF!="ZERO",0))))),"")</f>
        <v>#REF!</v>
      </c>
      <c r="H355" s="139" t="e">
        <f t="shared" ca="1" si="16"/>
        <v>#REF!</v>
      </c>
      <c r="I355" s="137" t="e">
        <f t="shared" ca="1" si="17"/>
        <v>#REF!</v>
      </c>
    </row>
    <row r="356" spans="1:9" hidden="1" x14ac:dyDescent="0.25">
      <c r="A356" s="114" t="s">
        <v>739</v>
      </c>
      <c r="B356" s="115" t="s">
        <v>1940</v>
      </c>
      <c r="C356" s="116" t="s">
        <v>94</v>
      </c>
      <c r="D356" s="116">
        <v>0</v>
      </c>
      <c r="E356" s="136">
        <f ca="1">OFFSET(INDEX(Composições!A:J,MATCH(Orçamentária!A356,Composições!A:A,0),8),2,0)</f>
        <v>2.6954273999999998</v>
      </c>
      <c r="F356" s="137">
        <f t="shared" ca="1" si="15"/>
        <v>0</v>
      </c>
      <c r="G356" s="138" t="e">
        <f>IF(A356&lt;&gt;"",IF(AND(#REF!="Padrão",$H$4=#REF!),BDI!$B$17,IF(AND(#REF!="Padrão",$H$4=#REF!),BDI!#REF!,IF(AND(#REF!="Diferenciado",$H$4=#REF!),BDI!$E$17,IF(AND(#REF!="Diferenciado",$H$4=#REF!),BDI!#REF!,IF(#REF!="ZERO",0))))),"")</f>
        <v>#REF!</v>
      </c>
      <c r="H356" s="139" t="e">
        <f t="shared" ca="1" si="16"/>
        <v>#REF!</v>
      </c>
      <c r="I356" s="137" t="e">
        <f t="shared" ca="1" si="17"/>
        <v>#REF!</v>
      </c>
    </row>
    <row r="357" spans="1:9" hidden="1" x14ac:dyDescent="0.25">
      <c r="A357" s="114" t="s">
        <v>1941</v>
      </c>
      <c r="B357" s="115" t="s">
        <v>1942</v>
      </c>
      <c r="C357" s="116" t="s">
        <v>96</v>
      </c>
      <c r="D357" s="116">
        <v>0</v>
      </c>
      <c r="E357" s="136" t="s">
        <v>572</v>
      </c>
      <c r="F357" s="137" t="str">
        <f t="shared" si="15"/>
        <v/>
      </c>
      <c r="G357" s="138" t="e">
        <f>IF(A357&lt;&gt;"",IF(AND(#REF!="Padrão",$H$4=#REF!),BDI!$B$17,IF(AND(#REF!="Padrão",$H$4=#REF!),BDI!#REF!,IF(AND(#REF!="Diferenciado",$H$4=#REF!),BDI!$E$17,IF(AND(#REF!="Diferenciado",$H$4=#REF!),BDI!#REF!,IF(#REF!="ZERO",0))))),"")</f>
        <v>#REF!</v>
      </c>
      <c r="H357" s="139" t="str">
        <f t="shared" si="16"/>
        <v/>
      </c>
      <c r="I357" s="137" t="str">
        <f t="shared" si="17"/>
        <v/>
      </c>
    </row>
    <row r="358" spans="1:9" hidden="1" x14ac:dyDescent="0.25">
      <c r="A358" s="114" t="s">
        <v>1943</v>
      </c>
      <c r="B358" s="115" t="s">
        <v>1944</v>
      </c>
      <c r="C358" s="116" t="s">
        <v>96</v>
      </c>
      <c r="D358" s="116">
        <v>0</v>
      </c>
      <c r="E358" s="136" t="s">
        <v>572</v>
      </c>
      <c r="F358" s="137" t="str">
        <f t="shared" si="15"/>
        <v/>
      </c>
      <c r="G358" s="138" t="e">
        <f>IF(A358&lt;&gt;"",IF(AND(#REF!="Padrão",$H$4=#REF!),BDI!$B$17,IF(AND(#REF!="Padrão",$H$4=#REF!),BDI!#REF!,IF(AND(#REF!="Diferenciado",$H$4=#REF!),BDI!$E$17,IF(AND(#REF!="Diferenciado",$H$4=#REF!),BDI!#REF!,IF(#REF!="ZERO",0))))),"")</f>
        <v>#REF!</v>
      </c>
      <c r="H358" s="139" t="str">
        <f t="shared" si="16"/>
        <v/>
      </c>
      <c r="I358" s="137" t="str">
        <f t="shared" si="17"/>
        <v/>
      </c>
    </row>
    <row r="359" spans="1:9" hidden="1" x14ac:dyDescent="0.25">
      <c r="A359" s="114" t="s">
        <v>741</v>
      </c>
      <c r="B359" s="115" t="s">
        <v>1945</v>
      </c>
      <c r="C359" s="116" t="s">
        <v>96</v>
      </c>
      <c r="D359" s="116">
        <v>0</v>
      </c>
      <c r="E359" s="136">
        <f ca="1">OFFSET(INDEX(Composições!A:J,MATCH(Orçamentária!A359,Composições!A:A,0),8),2,0)</f>
        <v>98.256599999999992</v>
      </c>
      <c r="F359" s="137">
        <f t="shared" ca="1" si="15"/>
        <v>0</v>
      </c>
      <c r="G359" s="138" t="e">
        <f>IF(A359&lt;&gt;"",IF(AND(#REF!="Padrão",$H$4=#REF!),BDI!$B$17,IF(AND(#REF!="Padrão",$H$4=#REF!),BDI!#REF!,IF(AND(#REF!="Diferenciado",$H$4=#REF!),BDI!$E$17,IF(AND(#REF!="Diferenciado",$H$4=#REF!),BDI!#REF!,IF(#REF!="ZERO",0))))),"")</f>
        <v>#REF!</v>
      </c>
      <c r="H359" s="139" t="e">
        <f t="shared" ca="1" si="16"/>
        <v>#REF!</v>
      </c>
      <c r="I359" s="137" t="e">
        <f t="shared" ca="1" si="17"/>
        <v>#REF!</v>
      </c>
    </row>
    <row r="360" spans="1:9" hidden="1" x14ac:dyDescent="0.25">
      <c r="A360" s="114" t="s">
        <v>742</v>
      </c>
      <c r="B360" s="115" t="s">
        <v>1946</v>
      </c>
      <c r="C360" s="116" t="s">
        <v>96</v>
      </c>
      <c r="D360" s="116">
        <v>0</v>
      </c>
      <c r="E360" s="136">
        <f ca="1">OFFSET(INDEX(Composições!A:J,MATCH(Orçamentária!A360,Composições!A:A,0),8),2,0)</f>
        <v>185.7345</v>
      </c>
      <c r="F360" s="137">
        <f t="shared" ca="1" si="15"/>
        <v>0</v>
      </c>
      <c r="G360" s="138" t="e">
        <f>IF(A360&lt;&gt;"",IF(AND(#REF!="Padrão",$H$4=#REF!),BDI!$B$17,IF(AND(#REF!="Padrão",$H$4=#REF!),BDI!#REF!,IF(AND(#REF!="Diferenciado",$H$4=#REF!),BDI!$E$17,IF(AND(#REF!="Diferenciado",$H$4=#REF!),BDI!#REF!,IF(#REF!="ZERO",0))))),"")</f>
        <v>#REF!</v>
      </c>
      <c r="H360" s="139" t="e">
        <f t="shared" ca="1" si="16"/>
        <v>#REF!</v>
      </c>
      <c r="I360" s="137" t="e">
        <f t="shared" ca="1" si="17"/>
        <v>#REF!</v>
      </c>
    </row>
    <row r="361" spans="1:9" hidden="1" x14ac:dyDescent="0.25">
      <c r="A361" s="114" t="s">
        <v>745</v>
      </c>
      <c r="B361" s="115" t="s">
        <v>1947</v>
      </c>
      <c r="C361" s="116" t="s">
        <v>20</v>
      </c>
      <c r="D361" s="116">
        <v>0</v>
      </c>
      <c r="E361" s="136">
        <f ca="1">OFFSET(INDEX(Composições!A:J,MATCH(Orçamentária!A361,Composições!A:A,0),8),2,0)</f>
        <v>40.736000000000004</v>
      </c>
      <c r="F361" s="137">
        <f t="shared" ca="1" si="15"/>
        <v>0</v>
      </c>
      <c r="G361" s="138" t="e">
        <f>IF(A361&lt;&gt;"",IF(AND(#REF!="Padrão",$H$4=#REF!),BDI!$B$17,IF(AND(#REF!="Padrão",$H$4=#REF!),BDI!#REF!,IF(AND(#REF!="Diferenciado",$H$4=#REF!),BDI!$E$17,IF(AND(#REF!="Diferenciado",$H$4=#REF!),BDI!#REF!,IF(#REF!="ZERO",0))))),"")</f>
        <v>#REF!</v>
      </c>
      <c r="H361" s="139" t="e">
        <f t="shared" ca="1" si="16"/>
        <v>#REF!</v>
      </c>
      <c r="I361" s="137" t="e">
        <f t="shared" ca="1" si="17"/>
        <v>#REF!</v>
      </c>
    </row>
    <row r="362" spans="1:9" hidden="1" x14ac:dyDescent="0.25">
      <c r="A362" s="114" t="s">
        <v>747</v>
      </c>
      <c r="B362" s="115" t="s">
        <v>1948</v>
      </c>
      <c r="C362" s="116" t="s">
        <v>20</v>
      </c>
      <c r="D362" s="116">
        <v>0</v>
      </c>
      <c r="E362" s="136">
        <f ca="1">OFFSET(INDEX(Composições!A:J,MATCH(Orçamentária!A362,Composições!A:A,0),8),2,0)</f>
        <v>40.736000000000004</v>
      </c>
      <c r="F362" s="137">
        <f t="shared" ca="1" si="15"/>
        <v>0</v>
      </c>
      <c r="G362" s="138" t="e">
        <f>IF(A362&lt;&gt;"",IF(AND(#REF!="Padrão",$H$4=#REF!),BDI!$B$17,IF(AND(#REF!="Padrão",$H$4=#REF!),BDI!#REF!,IF(AND(#REF!="Diferenciado",$H$4=#REF!),BDI!$E$17,IF(AND(#REF!="Diferenciado",$H$4=#REF!),BDI!#REF!,IF(#REF!="ZERO",0))))),"")</f>
        <v>#REF!</v>
      </c>
      <c r="H362" s="139" t="e">
        <f t="shared" ca="1" si="16"/>
        <v>#REF!</v>
      </c>
      <c r="I362" s="137" t="e">
        <f t="shared" ca="1" si="17"/>
        <v>#REF!</v>
      </c>
    </row>
    <row r="363" spans="1:9" hidden="1" x14ac:dyDescent="0.25">
      <c r="A363" s="114" t="s">
        <v>749</v>
      </c>
      <c r="B363" s="115" t="s">
        <v>1949</v>
      </c>
      <c r="C363" s="116" t="s">
        <v>20</v>
      </c>
      <c r="D363" s="116">
        <v>0</v>
      </c>
      <c r="E363" s="136">
        <f ca="1">OFFSET(INDEX(Composições!A:J,MATCH(Orçamentária!A363,Composições!A:A,0),8),2,0)</f>
        <v>40.736000000000004</v>
      </c>
      <c r="F363" s="137">
        <f t="shared" ca="1" si="15"/>
        <v>0</v>
      </c>
      <c r="G363" s="138" t="e">
        <f>IF(A363&lt;&gt;"",IF(AND(#REF!="Padrão",$H$4=#REF!),BDI!$B$17,IF(AND(#REF!="Padrão",$H$4=#REF!),BDI!#REF!,IF(AND(#REF!="Diferenciado",$H$4=#REF!),BDI!$E$17,IF(AND(#REF!="Diferenciado",$H$4=#REF!),BDI!#REF!,IF(#REF!="ZERO",0))))),"")</f>
        <v>#REF!</v>
      </c>
      <c r="H363" s="139" t="e">
        <f t="shared" ca="1" si="16"/>
        <v>#REF!</v>
      </c>
      <c r="I363" s="137" t="e">
        <f t="shared" ca="1" si="17"/>
        <v>#REF!</v>
      </c>
    </row>
    <row r="364" spans="1:9" hidden="1" x14ac:dyDescent="0.25">
      <c r="A364" s="114" t="s">
        <v>751</v>
      </c>
      <c r="B364" s="115" t="s">
        <v>3644</v>
      </c>
      <c r="C364" s="116" t="s">
        <v>20</v>
      </c>
      <c r="D364" s="116">
        <v>0</v>
      </c>
      <c r="E364" s="136">
        <f ca="1">OFFSET(INDEX(Composições!A:J,MATCH(Orçamentária!A364,Composições!A:A,0),8),2,0)</f>
        <v>263.43557950000002</v>
      </c>
      <c r="F364" s="137">
        <f t="shared" ca="1" si="15"/>
        <v>0</v>
      </c>
      <c r="G364" s="138" t="e">
        <f>IF(A364&lt;&gt;"",IF(AND(#REF!="Padrão",$H$4=#REF!),BDI!$B$17,IF(AND(#REF!="Padrão",$H$4=#REF!),BDI!#REF!,IF(AND(#REF!="Diferenciado",$H$4=#REF!),BDI!$E$17,IF(AND(#REF!="Diferenciado",$H$4=#REF!),BDI!#REF!,IF(#REF!="ZERO",0))))),"")</f>
        <v>#REF!</v>
      </c>
      <c r="H364" s="139" t="e">
        <f t="shared" ca="1" si="16"/>
        <v>#REF!</v>
      </c>
      <c r="I364" s="137" t="e">
        <f t="shared" ca="1" si="17"/>
        <v>#REF!</v>
      </c>
    </row>
    <row r="365" spans="1:9" hidden="1" x14ac:dyDescent="0.25">
      <c r="A365" s="114" t="s">
        <v>753</v>
      </c>
      <c r="B365" s="115" t="s">
        <v>1950</v>
      </c>
      <c r="C365" s="116" t="s">
        <v>96</v>
      </c>
      <c r="D365" s="116">
        <v>0</v>
      </c>
      <c r="E365" s="136">
        <f ca="1">OFFSET(INDEX(Composições!A:J,MATCH(Orçamentária!A365,Composições!A:A,0),8),2,0)</f>
        <v>11.57385</v>
      </c>
      <c r="F365" s="137">
        <f t="shared" ca="1" si="15"/>
        <v>0</v>
      </c>
      <c r="G365" s="138" t="e">
        <f>IF(A365&lt;&gt;"",IF(AND(#REF!="Padrão",$H$4=#REF!),BDI!$B$17,IF(AND(#REF!="Padrão",$H$4=#REF!),BDI!#REF!,IF(AND(#REF!="Diferenciado",$H$4=#REF!),BDI!$E$17,IF(AND(#REF!="Diferenciado",$H$4=#REF!),BDI!#REF!,IF(#REF!="ZERO",0))))),"")</f>
        <v>#REF!</v>
      </c>
      <c r="H365" s="139" t="e">
        <f t="shared" ca="1" si="16"/>
        <v>#REF!</v>
      </c>
      <c r="I365" s="137" t="e">
        <f t="shared" ca="1" si="17"/>
        <v>#REF!</v>
      </c>
    </row>
    <row r="366" spans="1:9" hidden="1" x14ac:dyDescent="0.25">
      <c r="A366" s="114" t="s">
        <v>755</v>
      </c>
      <c r="B366" s="115" t="s">
        <v>3635</v>
      </c>
      <c r="C366" s="116" t="s">
        <v>20</v>
      </c>
      <c r="D366" s="116">
        <v>0</v>
      </c>
      <c r="E366" s="136">
        <f ca="1">OFFSET(INDEX(Composições!A:J,MATCH(Orçamentária!A366,Composições!A:A,0),8),2,0)</f>
        <v>223.01041759999995</v>
      </c>
      <c r="F366" s="137">
        <f t="shared" ca="1" si="15"/>
        <v>0</v>
      </c>
      <c r="G366" s="138" t="e">
        <f>IF(A366&lt;&gt;"",IF(AND(#REF!="Padrão",$H$4=#REF!),BDI!$B$17,IF(AND(#REF!="Padrão",$H$4=#REF!),BDI!#REF!,IF(AND(#REF!="Diferenciado",$H$4=#REF!),BDI!$E$17,IF(AND(#REF!="Diferenciado",$H$4=#REF!),BDI!#REF!,IF(#REF!="ZERO",0))))),"")</f>
        <v>#REF!</v>
      </c>
      <c r="H366" s="139" t="e">
        <f t="shared" ca="1" si="16"/>
        <v>#REF!</v>
      </c>
      <c r="I366" s="137" t="e">
        <f t="shared" ca="1" si="17"/>
        <v>#REF!</v>
      </c>
    </row>
    <row r="367" spans="1:9" hidden="1" x14ac:dyDescent="0.25">
      <c r="A367" s="114" t="s">
        <v>761</v>
      </c>
      <c r="B367" s="115" t="s">
        <v>3636</v>
      </c>
      <c r="C367" s="116" t="s">
        <v>20</v>
      </c>
      <c r="D367" s="116">
        <v>0</v>
      </c>
      <c r="E367" s="136">
        <f ca="1">OFFSET(INDEX(Composições!A:J,MATCH(Orçamentária!A367,Composições!A:A,0),8),2,0)</f>
        <v>234.05085020000001</v>
      </c>
      <c r="F367" s="137">
        <f t="shared" ca="1" si="15"/>
        <v>0</v>
      </c>
      <c r="G367" s="138" t="e">
        <f>IF(A367&lt;&gt;"",IF(AND(#REF!="Padrão",$H$4=#REF!),BDI!$B$17,IF(AND(#REF!="Padrão",$H$4=#REF!),BDI!#REF!,IF(AND(#REF!="Diferenciado",$H$4=#REF!),BDI!$E$17,IF(AND(#REF!="Diferenciado",$H$4=#REF!),BDI!#REF!,IF(#REF!="ZERO",0))))),"")</f>
        <v>#REF!</v>
      </c>
      <c r="H367" s="139" t="e">
        <f t="shared" ca="1" si="16"/>
        <v>#REF!</v>
      </c>
      <c r="I367" s="137" t="e">
        <f t="shared" ca="1" si="17"/>
        <v>#REF!</v>
      </c>
    </row>
    <row r="368" spans="1:9" hidden="1" x14ac:dyDescent="0.25">
      <c r="A368" s="114" t="s">
        <v>762</v>
      </c>
      <c r="B368" s="115" t="s">
        <v>3637</v>
      </c>
      <c r="C368" s="116" t="s">
        <v>20</v>
      </c>
      <c r="D368" s="116">
        <v>0</v>
      </c>
      <c r="E368" s="136">
        <f ca="1">OFFSET(INDEX(Composições!A:J,MATCH(Orçamentária!A368,Composições!A:A,0),8),2,0)</f>
        <v>280.90628279999999</v>
      </c>
      <c r="F368" s="137">
        <f t="shared" ca="1" si="15"/>
        <v>0</v>
      </c>
      <c r="G368" s="138" t="e">
        <f>IF(A368&lt;&gt;"",IF(AND(#REF!="Padrão",$H$4=#REF!),BDI!$B$17,IF(AND(#REF!="Padrão",$H$4=#REF!),BDI!#REF!,IF(AND(#REF!="Diferenciado",$H$4=#REF!),BDI!$E$17,IF(AND(#REF!="Diferenciado",$H$4=#REF!),BDI!#REF!,IF(#REF!="ZERO",0))))),"")</f>
        <v>#REF!</v>
      </c>
      <c r="H368" s="139" t="e">
        <f t="shared" ca="1" si="16"/>
        <v>#REF!</v>
      </c>
      <c r="I368" s="137" t="e">
        <f t="shared" ca="1" si="17"/>
        <v>#REF!</v>
      </c>
    </row>
    <row r="369" spans="1:9" hidden="1" x14ac:dyDescent="0.25">
      <c r="A369" s="114" t="s">
        <v>763</v>
      </c>
      <c r="B369" s="115" t="s">
        <v>3638</v>
      </c>
      <c r="C369" s="116" t="s">
        <v>20</v>
      </c>
      <c r="D369" s="116">
        <v>0</v>
      </c>
      <c r="E369" s="136">
        <f ca="1">OFFSET(INDEX(Composições!A:J,MATCH(Orçamentária!A369,Composições!A:A,0),8),2,0)</f>
        <v>318.25221540000007</v>
      </c>
      <c r="F369" s="137">
        <f t="shared" ca="1" si="15"/>
        <v>0</v>
      </c>
      <c r="G369" s="138" t="e">
        <f>IF(A369&lt;&gt;"",IF(AND(#REF!="Padrão",$H$4=#REF!),BDI!$B$17,IF(AND(#REF!="Padrão",$H$4=#REF!),BDI!#REF!,IF(AND(#REF!="Diferenciado",$H$4=#REF!),BDI!$E$17,IF(AND(#REF!="Diferenciado",$H$4=#REF!),BDI!#REF!,IF(#REF!="ZERO",0))))),"")</f>
        <v>#REF!</v>
      </c>
      <c r="H369" s="139" t="e">
        <f t="shared" ca="1" si="16"/>
        <v>#REF!</v>
      </c>
      <c r="I369" s="137" t="e">
        <f t="shared" ca="1" si="17"/>
        <v>#REF!</v>
      </c>
    </row>
    <row r="370" spans="1:9" hidden="1" x14ac:dyDescent="0.25">
      <c r="A370" s="114" t="s">
        <v>764</v>
      </c>
      <c r="B370" s="115" t="s">
        <v>3639</v>
      </c>
      <c r="C370" s="116" t="s">
        <v>20</v>
      </c>
      <c r="D370" s="116">
        <v>0</v>
      </c>
      <c r="E370" s="136">
        <f ca="1">OFFSET(INDEX(Composições!A:J,MATCH(Orçamentária!A370,Composições!A:A,0),8),2,0)</f>
        <v>340.23401840000002</v>
      </c>
      <c r="F370" s="137">
        <f t="shared" ca="1" si="15"/>
        <v>0</v>
      </c>
      <c r="G370" s="138" t="e">
        <f>IF(A370&lt;&gt;"",IF(AND(#REF!="Padrão",$H$4=#REF!),BDI!$B$17,IF(AND(#REF!="Padrão",$H$4=#REF!),BDI!#REF!,IF(AND(#REF!="Diferenciado",$H$4=#REF!),BDI!$E$17,IF(AND(#REF!="Diferenciado",$H$4=#REF!),BDI!#REF!,IF(#REF!="ZERO",0))))),"")</f>
        <v>#REF!</v>
      </c>
      <c r="H370" s="139" t="e">
        <f t="shared" ca="1" si="16"/>
        <v>#REF!</v>
      </c>
      <c r="I370" s="137" t="e">
        <f t="shared" ca="1" si="17"/>
        <v>#REF!</v>
      </c>
    </row>
    <row r="371" spans="1:9" hidden="1" x14ac:dyDescent="0.25">
      <c r="A371" s="114" t="s">
        <v>766</v>
      </c>
      <c r="B371" s="115" t="s">
        <v>1951</v>
      </c>
      <c r="C371" s="116" t="s">
        <v>20</v>
      </c>
      <c r="D371" s="116">
        <v>0</v>
      </c>
      <c r="E371" s="136">
        <f ca="1">OFFSET(INDEX(Composições!A:J,MATCH(Orçamentária!A371,Composições!A:A,0),8),2,0)</f>
        <v>82.877353999999997</v>
      </c>
      <c r="F371" s="137">
        <f t="shared" ca="1" si="15"/>
        <v>0</v>
      </c>
      <c r="G371" s="138" t="e">
        <f>IF(A371&lt;&gt;"",IF(AND(#REF!="Padrão",$H$4=#REF!),BDI!$B$17,IF(AND(#REF!="Padrão",$H$4=#REF!),BDI!#REF!,IF(AND(#REF!="Diferenciado",$H$4=#REF!),BDI!$E$17,IF(AND(#REF!="Diferenciado",$H$4=#REF!),BDI!#REF!,IF(#REF!="ZERO",0))))),"")</f>
        <v>#REF!</v>
      </c>
      <c r="H371" s="139" t="e">
        <f t="shared" ca="1" si="16"/>
        <v>#REF!</v>
      </c>
      <c r="I371" s="137" t="e">
        <f t="shared" ca="1" si="17"/>
        <v>#REF!</v>
      </c>
    </row>
    <row r="372" spans="1:9" hidden="1" x14ac:dyDescent="0.25">
      <c r="A372" s="114" t="s">
        <v>767</v>
      </c>
      <c r="B372" s="115" t="s">
        <v>1952</v>
      </c>
      <c r="C372" s="116" t="s">
        <v>20</v>
      </c>
      <c r="D372" s="116">
        <v>0</v>
      </c>
      <c r="E372" s="136">
        <f ca="1">OFFSET(INDEX(Composições!A:J,MATCH(Orçamentária!A372,Composições!A:A,0),8),2,0)</f>
        <v>59.392727000000008</v>
      </c>
      <c r="F372" s="137">
        <f t="shared" ca="1" si="15"/>
        <v>0</v>
      </c>
      <c r="G372" s="138" t="e">
        <f>IF(A372&lt;&gt;"",IF(AND(#REF!="Padrão",$H$4=#REF!),BDI!$B$17,IF(AND(#REF!="Padrão",$H$4=#REF!),BDI!#REF!,IF(AND(#REF!="Diferenciado",$H$4=#REF!),BDI!$E$17,IF(AND(#REF!="Diferenciado",$H$4=#REF!),BDI!#REF!,IF(#REF!="ZERO",0))))),"")</f>
        <v>#REF!</v>
      </c>
      <c r="H372" s="139" t="e">
        <f t="shared" ca="1" si="16"/>
        <v>#REF!</v>
      </c>
      <c r="I372" s="137" t="e">
        <f t="shared" ca="1" si="17"/>
        <v>#REF!</v>
      </c>
    </row>
    <row r="373" spans="1:9" hidden="1" x14ac:dyDescent="0.25">
      <c r="A373" s="114" t="s">
        <v>769</v>
      </c>
      <c r="B373" s="115" t="s">
        <v>1953</v>
      </c>
      <c r="C373" s="116" t="s">
        <v>20</v>
      </c>
      <c r="D373" s="116">
        <v>0</v>
      </c>
      <c r="E373" s="136">
        <f ca="1">OFFSET(INDEX(Composições!A:J,MATCH(Orçamentária!A373,Composições!A:A,0),8),2,0)</f>
        <v>44.541680999999997</v>
      </c>
      <c r="F373" s="137">
        <f t="shared" ca="1" si="15"/>
        <v>0</v>
      </c>
      <c r="G373" s="138" t="e">
        <f>IF(A373&lt;&gt;"",IF(AND(#REF!="Padrão",$H$4=#REF!),BDI!$B$17,IF(AND(#REF!="Padrão",$H$4=#REF!),BDI!#REF!,IF(AND(#REF!="Diferenciado",$H$4=#REF!),BDI!$E$17,IF(AND(#REF!="Diferenciado",$H$4=#REF!),BDI!#REF!,IF(#REF!="ZERO",0))))),"")</f>
        <v>#REF!</v>
      </c>
      <c r="H373" s="139" t="e">
        <f t="shared" ca="1" si="16"/>
        <v>#REF!</v>
      </c>
      <c r="I373" s="137" t="e">
        <f t="shared" ca="1" si="17"/>
        <v>#REF!</v>
      </c>
    </row>
    <row r="374" spans="1:9" hidden="1" x14ac:dyDescent="0.25">
      <c r="A374" s="114" t="s">
        <v>770</v>
      </c>
      <c r="B374" s="115" t="s">
        <v>1954</v>
      </c>
      <c r="C374" s="116" t="s">
        <v>20</v>
      </c>
      <c r="D374" s="116">
        <v>0</v>
      </c>
      <c r="E374" s="136">
        <f ca="1">OFFSET(INDEX(Composições!A:J,MATCH(Orçamentária!A374,Composições!A:A,0),8),2,0)</f>
        <v>23.0735715</v>
      </c>
      <c r="F374" s="137">
        <f t="shared" ca="1" si="15"/>
        <v>0</v>
      </c>
      <c r="G374" s="138" t="e">
        <f>IF(A374&lt;&gt;"",IF(AND(#REF!="Padrão",$H$4=#REF!),BDI!$B$17,IF(AND(#REF!="Padrão",$H$4=#REF!),BDI!#REF!,IF(AND(#REF!="Diferenciado",$H$4=#REF!),BDI!$E$17,IF(AND(#REF!="Diferenciado",$H$4=#REF!),BDI!#REF!,IF(#REF!="ZERO",0))))),"")</f>
        <v>#REF!</v>
      </c>
      <c r="H374" s="139" t="e">
        <f t="shared" ca="1" si="16"/>
        <v>#REF!</v>
      </c>
      <c r="I374" s="137" t="e">
        <f t="shared" ca="1" si="17"/>
        <v>#REF!</v>
      </c>
    </row>
    <row r="375" spans="1:9" hidden="1" x14ac:dyDescent="0.25">
      <c r="A375" s="114" t="s">
        <v>772</v>
      </c>
      <c r="B375" s="115" t="s">
        <v>1955</v>
      </c>
      <c r="C375" s="116" t="s">
        <v>20</v>
      </c>
      <c r="D375" s="116">
        <v>0</v>
      </c>
      <c r="E375" s="136">
        <f ca="1">OFFSET(INDEX(Composições!A:J,MATCH(Orçamentária!A375,Composições!A:A,0),8),2,0)</f>
        <v>30.1323945</v>
      </c>
      <c r="F375" s="137">
        <f t="shared" ca="1" si="15"/>
        <v>0</v>
      </c>
      <c r="G375" s="138" t="e">
        <f>IF(A375&lt;&gt;"",IF(AND(#REF!="Padrão",$H$4=#REF!),BDI!$B$17,IF(AND(#REF!="Padrão",$H$4=#REF!),BDI!#REF!,IF(AND(#REF!="Diferenciado",$H$4=#REF!),BDI!$E$17,IF(AND(#REF!="Diferenciado",$H$4=#REF!),BDI!#REF!,IF(#REF!="ZERO",0))))),"")</f>
        <v>#REF!</v>
      </c>
      <c r="H375" s="139" t="e">
        <f t="shared" ca="1" si="16"/>
        <v>#REF!</v>
      </c>
      <c r="I375" s="137" t="e">
        <f t="shared" ca="1" si="17"/>
        <v>#REF!</v>
      </c>
    </row>
    <row r="376" spans="1:9" hidden="1" x14ac:dyDescent="0.25">
      <c r="A376" s="114" t="s">
        <v>774</v>
      </c>
      <c r="B376" s="115" t="s">
        <v>1956</v>
      </c>
      <c r="C376" s="116" t="s">
        <v>20</v>
      </c>
      <c r="D376" s="116">
        <v>0</v>
      </c>
      <c r="E376" s="136">
        <f ca="1">OFFSET(INDEX(Composições!A:J,MATCH(Orçamentária!A376,Composições!A:A,0),8),2,0)</f>
        <v>30.1323945</v>
      </c>
      <c r="F376" s="137">
        <f t="shared" ca="1" si="15"/>
        <v>0</v>
      </c>
      <c r="G376" s="138" t="e">
        <f>IF(A376&lt;&gt;"",IF(AND(#REF!="Padrão",$H$4=#REF!),BDI!$B$17,IF(AND(#REF!="Padrão",$H$4=#REF!),BDI!#REF!,IF(AND(#REF!="Diferenciado",$H$4=#REF!),BDI!$E$17,IF(AND(#REF!="Diferenciado",$H$4=#REF!),BDI!#REF!,IF(#REF!="ZERO",0))))),"")</f>
        <v>#REF!</v>
      </c>
      <c r="H376" s="139" t="e">
        <f t="shared" ca="1" si="16"/>
        <v>#REF!</v>
      </c>
      <c r="I376" s="137" t="e">
        <f t="shared" ca="1" si="17"/>
        <v>#REF!</v>
      </c>
    </row>
    <row r="377" spans="1:9" hidden="1" x14ac:dyDescent="0.25">
      <c r="A377" s="114" t="s">
        <v>776</v>
      </c>
      <c r="B377" s="115" t="s">
        <v>1957</v>
      </c>
      <c r="C377" s="116" t="s">
        <v>20</v>
      </c>
      <c r="D377" s="116">
        <v>0</v>
      </c>
      <c r="E377" s="136">
        <f ca="1">OFFSET(INDEX(Composições!A:J,MATCH(Orçamentária!A377,Composições!A:A,0),8),2,0)</f>
        <v>30.1323945</v>
      </c>
      <c r="F377" s="137">
        <f t="shared" ca="1" si="15"/>
        <v>0</v>
      </c>
      <c r="G377" s="138" t="e">
        <f>IF(A377&lt;&gt;"",IF(AND(#REF!="Padrão",$H$4=#REF!),BDI!$B$17,IF(AND(#REF!="Padrão",$H$4=#REF!),BDI!#REF!,IF(AND(#REF!="Diferenciado",$H$4=#REF!),BDI!$E$17,IF(AND(#REF!="Diferenciado",$H$4=#REF!),BDI!#REF!,IF(#REF!="ZERO",0))))),"")</f>
        <v>#REF!</v>
      </c>
      <c r="H377" s="139" t="e">
        <f t="shared" ca="1" si="16"/>
        <v>#REF!</v>
      </c>
      <c r="I377" s="137" t="e">
        <f t="shared" ca="1" si="17"/>
        <v>#REF!</v>
      </c>
    </row>
    <row r="378" spans="1:9" hidden="1" x14ac:dyDescent="0.25">
      <c r="A378" s="114" t="s">
        <v>777</v>
      </c>
      <c r="B378" s="115" t="s">
        <v>1958</v>
      </c>
      <c r="C378" s="116" t="s">
        <v>20</v>
      </c>
      <c r="D378" s="116">
        <v>0</v>
      </c>
      <c r="E378" s="136">
        <f ca="1">OFFSET(INDEX(Composições!A:J,MATCH(Orçamentária!A378,Composições!A:A,0),8),2,0)</f>
        <v>22.268000000000001</v>
      </c>
      <c r="F378" s="137">
        <f t="shared" ca="1" si="15"/>
        <v>0</v>
      </c>
      <c r="G378" s="138" t="e">
        <f>IF(A378&lt;&gt;"",IF(AND(#REF!="Padrão",$H$4=#REF!),BDI!$B$17,IF(AND(#REF!="Padrão",$H$4=#REF!),BDI!#REF!,IF(AND(#REF!="Diferenciado",$H$4=#REF!),BDI!$E$17,IF(AND(#REF!="Diferenciado",$H$4=#REF!),BDI!#REF!,IF(#REF!="ZERO",0))))),"")</f>
        <v>#REF!</v>
      </c>
      <c r="H378" s="139" t="e">
        <f t="shared" ca="1" si="16"/>
        <v>#REF!</v>
      </c>
      <c r="I378" s="137" t="e">
        <f t="shared" ca="1" si="17"/>
        <v>#REF!</v>
      </c>
    </row>
    <row r="379" spans="1:9" hidden="1" x14ac:dyDescent="0.25">
      <c r="A379" s="114" t="s">
        <v>779</v>
      </c>
      <c r="B379" s="115" t="s">
        <v>1959</v>
      </c>
      <c r="C379" s="116" t="s">
        <v>20</v>
      </c>
      <c r="D379" s="116">
        <v>0</v>
      </c>
      <c r="E379" s="136">
        <f ca="1">OFFSET(INDEX(Composições!A:J,MATCH(Orçamentária!A379,Composições!A:A,0),8),2,0)</f>
        <v>11.134</v>
      </c>
      <c r="F379" s="137">
        <f t="shared" ca="1" si="15"/>
        <v>0</v>
      </c>
      <c r="G379" s="138" t="e">
        <f>IF(A379&lt;&gt;"",IF(AND(#REF!="Padrão",$H$4=#REF!),BDI!$B$17,IF(AND(#REF!="Padrão",$H$4=#REF!),BDI!#REF!,IF(AND(#REF!="Diferenciado",$H$4=#REF!),BDI!$E$17,IF(AND(#REF!="Diferenciado",$H$4=#REF!),BDI!#REF!,IF(#REF!="ZERO",0))))),"")</f>
        <v>#REF!</v>
      </c>
      <c r="H379" s="139" t="e">
        <f t="shared" ca="1" si="16"/>
        <v>#REF!</v>
      </c>
      <c r="I379" s="137" t="e">
        <f t="shared" ca="1" si="17"/>
        <v>#REF!</v>
      </c>
    </row>
    <row r="380" spans="1:9" hidden="1" x14ac:dyDescent="0.25">
      <c r="A380" s="114" t="s">
        <v>781</v>
      </c>
      <c r="B380" s="115" t="s">
        <v>1960</v>
      </c>
      <c r="C380" s="116" t="s">
        <v>94</v>
      </c>
      <c r="D380" s="116">
        <v>0</v>
      </c>
      <c r="E380" s="136">
        <f ca="1">OFFSET(INDEX(Composições!A:J,MATCH(Orçamentária!A380,Composições!A:A,0),8),2,0)</f>
        <v>0.1109752</v>
      </c>
      <c r="F380" s="137">
        <f t="shared" ca="1" si="15"/>
        <v>0</v>
      </c>
      <c r="G380" s="138" t="e">
        <f>IF(A380&lt;&gt;"",IF(AND(#REF!="Padrão",$H$4=#REF!),BDI!$B$17,IF(AND(#REF!="Padrão",$H$4=#REF!),BDI!#REF!,IF(AND(#REF!="Diferenciado",$H$4=#REF!),BDI!$E$17,IF(AND(#REF!="Diferenciado",$H$4=#REF!),BDI!#REF!,IF(#REF!="ZERO",0))))),"")</f>
        <v>#REF!</v>
      </c>
      <c r="H380" s="139" t="e">
        <f t="shared" ca="1" si="16"/>
        <v>#REF!</v>
      </c>
      <c r="I380" s="137" t="e">
        <f t="shared" ca="1" si="17"/>
        <v>#REF!</v>
      </c>
    </row>
    <row r="381" spans="1:9" hidden="1" x14ac:dyDescent="0.25">
      <c r="A381" s="114" t="s">
        <v>783</v>
      </c>
      <c r="B381" s="115" t="s">
        <v>1961</v>
      </c>
      <c r="C381" s="116" t="s">
        <v>20</v>
      </c>
      <c r="D381" s="116">
        <v>0</v>
      </c>
      <c r="E381" s="136">
        <f ca="1">OFFSET(INDEX(Composições!A:J,MATCH(Orçamentária!A381,Composições!A:A,0),8),2,0)</f>
        <v>16.345061600000001</v>
      </c>
      <c r="F381" s="137">
        <f t="shared" ca="1" si="15"/>
        <v>0</v>
      </c>
      <c r="G381" s="138" t="e">
        <f>IF(A381&lt;&gt;"",IF(AND(#REF!="Padrão",$H$4=#REF!),BDI!$B$17,IF(AND(#REF!="Padrão",$H$4=#REF!),BDI!#REF!,IF(AND(#REF!="Diferenciado",$H$4=#REF!),BDI!$E$17,IF(AND(#REF!="Diferenciado",$H$4=#REF!),BDI!#REF!,IF(#REF!="ZERO",0))))),"")</f>
        <v>#REF!</v>
      </c>
      <c r="H381" s="139" t="e">
        <f t="shared" ca="1" si="16"/>
        <v>#REF!</v>
      </c>
      <c r="I381" s="137" t="e">
        <f t="shared" ca="1" si="17"/>
        <v>#REF!</v>
      </c>
    </row>
    <row r="382" spans="1:9" hidden="1" x14ac:dyDescent="0.25">
      <c r="A382" s="114" t="s">
        <v>787</v>
      </c>
      <c r="B382" s="115" t="s">
        <v>1962</v>
      </c>
      <c r="C382" s="116" t="s">
        <v>20</v>
      </c>
      <c r="D382" s="116">
        <v>0</v>
      </c>
      <c r="E382" s="136">
        <f ca="1">OFFSET(INDEX(Composições!A:J,MATCH(Orçamentária!A382,Composições!A:A,0),8),2,0)</f>
        <v>245.75854380000001</v>
      </c>
      <c r="F382" s="137">
        <f t="shared" ca="1" si="15"/>
        <v>0</v>
      </c>
      <c r="G382" s="138" t="e">
        <f>IF(A382&lt;&gt;"",IF(AND(#REF!="Padrão",$H$4=#REF!),BDI!$B$17,IF(AND(#REF!="Padrão",$H$4=#REF!),BDI!#REF!,IF(AND(#REF!="Diferenciado",$H$4=#REF!),BDI!$E$17,IF(AND(#REF!="Diferenciado",$H$4=#REF!),BDI!#REF!,IF(#REF!="ZERO",0))))),"")</f>
        <v>#REF!</v>
      </c>
      <c r="H382" s="139" t="e">
        <f t="shared" ca="1" si="16"/>
        <v>#REF!</v>
      </c>
      <c r="I382" s="137" t="e">
        <f t="shared" ca="1" si="17"/>
        <v>#REF!</v>
      </c>
    </row>
    <row r="383" spans="1:9" hidden="1" x14ac:dyDescent="0.25">
      <c r="A383" s="114" t="s">
        <v>789</v>
      </c>
      <c r="B383" s="115" t="s">
        <v>1963</v>
      </c>
      <c r="C383" s="116" t="s">
        <v>94</v>
      </c>
      <c r="D383" s="116">
        <v>0</v>
      </c>
      <c r="E383" s="136">
        <f ca="1">OFFSET(INDEX(Composições!A:J,MATCH(Orçamentária!A383,Composições!A:A,0),8),2,0)</f>
        <v>3.5779394</v>
      </c>
      <c r="F383" s="137">
        <f t="shared" ca="1" si="15"/>
        <v>0</v>
      </c>
      <c r="G383" s="138" t="e">
        <f>IF(A383&lt;&gt;"",IF(AND(#REF!="Padrão",$H$4=#REF!),BDI!$B$17,IF(AND(#REF!="Padrão",$H$4=#REF!),BDI!#REF!,IF(AND(#REF!="Diferenciado",$H$4=#REF!),BDI!$E$17,IF(AND(#REF!="Diferenciado",$H$4=#REF!),BDI!#REF!,IF(#REF!="ZERO",0))))),"")</f>
        <v>#REF!</v>
      </c>
      <c r="H383" s="139" t="e">
        <f t="shared" ca="1" si="16"/>
        <v>#REF!</v>
      </c>
      <c r="I383" s="137" t="e">
        <f t="shared" ca="1" si="17"/>
        <v>#REF!</v>
      </c>
    </row>
    <row r="384" spans="1:9" hidden="1" x14ac:dyDescent="0.25">
      <c r="A384" s="114" t="s">
        <v>791</v>
      </c>
      <c r="B384" s="115" t="s">
        <v>1964</v>
      </c>
      <c r="C384" s="116" t="s">
        <v>20</v>
      </c>
      <c r="D384" s="116">
        <v>0</v>
      </c>
      <c r="E384" s="136">
        <f ca="1">OFFSET(INDEX(Composições!A:J,MATCH(Orçamentária!A384,Composições!A:A,0),8),2,0)</f>
        <v>34.763030799999996</v>
      </c>
      <c r="F384" s="137">
        <f t="shared" ca="1" si="15"/>
        <v>0</v>
      </c>
      <c r="G384" s="138" t="e">
        <f>IF(A384&lt;&gt;"",IF(AND(#REF!="Padrão",$H$4=#REF!),BDI!$B$17,IF(AND(#REF!="Padrão",$H$4=#REF!),BDI!#REF!,IF(AND(#REF!="Diferenciado",$H$4=#REF!),BDI!$E$17,IF(AND(#REF!="Diferenciado",$H$4=#REF!),BDI!#REF!,IF(#REF!="ZERO",0))))),"")</f>
        <v>#REF!</v>
      </c>
      <c r="H384" s="139" t="e">
        <f t="shared" ca="1" si="16"/>
        <v>#REF!</v>
      </c>
      <c r="I384" s="137" t="e">
        <f t="shared" ca="1" si="17"/>
        <v>#REF!</v>
      </c>
    </row>
    <row r="385" spans="1:9" hidden="1" x14ac:dyDescent="0.25">
      <c r="A385" s="114" t="s">
        <v>794</v>
      </c>
      <c r="B385" s="115" t="s">
        <v>1965</v>
      </c>
      <c r="C385" s="116" t="s">
        <v>20</v>
      </c>
      <c r="D385" s="116">
        <v>0</v>
      </c>
      <c r="E385" s="136">
        <f ca="1">OFFSET(INDEX(Composições!A:J,MATCH(Orçamentária!A385,Composições!A:A,0),8),2,0)</f>
        <v>141.87774999999999</v>
      </c>
      <c r="F385" s="137">
        <f t="shared" ca="1" si="15"/>
        <v>0</v>
      </c>
      <c r="G385" s="138" t="e">
        <f>IF(A385&lt;&gt;"",IF(AND(#REF!="Padrão",$H$4=#REF!),BDI!$B$17,IF(AND(#REF!="Padrão",$H$4=#REF!),BDI!#REF!,IF(AND(#REF!="Diferenciado",$H$4=#REF!),BDI!$E$17,IF(AND(#REF!="Diferenciado",$H$4=#REF!),BDI!#REF!,IF(#REF!="ZERO",0))))),"")</f>
        <v>#REF!</v>
      </c>
      <c r="H385" s="139" t="e">
        <f t="shared" ca="1" si="16"/>
        <v>#REF!</v>
      </c>
      <c r="I385" s="137" t="e">
        <f t="shared" ca="1" si="17"/>
        <v>#REF!</v>
      </c>
    </row>
    <row r="386" spans="1:9" hidden="1" x14ac:dyDescent="0.25">
      <c r="A386" s="114" t="s">
        <v>1966</v>
      </c>
      <c r="B386" s="115" t="s">
        <v>1967</v>
      </c>
      <c r="C386" s="116" t="s">
        <v>42</v>
      </c>
      <c r="D386" s="116">
        <v>0</v>
      </c>
      <c r="E386" s="136" t="s">
        <v>572</v>
      </c>
      <c r="F386" s="137" t="str">
        <f t="shared" si="15"/>
        <v/>
      </c>
      <c r="G386" s="138" t="e">
        <f>IF(A386&lt;&gt;"",IF(AND(#REF!="Padrão",$H$4=#REF!),BDI!$B$17,IF(AND(#REF!="Padrão",$H$4=#REF!),BDI!#REF!,IF(AND(#REF!="Diferenciado",$H$4=#REF!),BDI!$E$17,IF(AND(#REF!="Diferenciado",$H$4=#REF!),BDI!#REF!,IF(#REF!="ZERO",0))))),"")</f>
        <v>#REF!</v>
      </c>
      <c r="H386" s="139" t="str">
        <f t="shared" si="16"/>
        <v/>
      </c>
      <c r="I386" s="137" t="str">
        <f t="shared" si="17"/>
        <v/>
      </c>
    </row>
    <row r="387" spans="1:9" hidden="1" x14ac:dyDescent="0.25">
      <c r="A387" s="114" t="s">
        <v>1968</v>
      </c>
      <c r="B387" s="115" t="s">
        <v>1969</v>
      </c>
      <c r="C387" s="116" t="s">
        <v>1970</v>
      </c>
      <c r="D387" s="116">
        <v>0</v>
      </c>
      <c r="E387" s="136" t="s">
        <v>572</v>
      </c>
      <c r="F387" s="137" t="str">
        <f t="shared" si="15"/>
        <v/>
      </c>
      <c r="G387" s="138" t="e">
        <f>IF(A387&lt;&gt;"",IF(AND(#REF!="Padrão",$H$4=#REF!),BDI!$B$17,IF(AND(#REF!="Padrão",$H$4=#REF!),BDI!#REF!,IF(AND(#REF!="Diferenciado",$H$4=#REF!),BDI!$E$17,IF(AND(#REF!="Diferenciado",$H$4=#REF!),BDI!#REF!,IF(#REF!="ZERO",0))))),"")</f>
        <v>#REF!</v>
      </c>
      <c r="H387" s="139" t="str">
        <f t="shared" si="16"/>
        <v/>
      </c>
      <c r="I387" s="137" t="str">
        <f t="shared" si="17"/>
        <v/>
      </c>
    </row>
    <row r="388" spans="1:9" hidden="1" x14ac:dyDescent="0.25">
      <c r="A388" s="114" t="s">
        <v>1971</v>
      </c>
      <c r="B388" s="115" t="s">
        <v>1972</v>
      </c>
      <c r="C388" s="116" t="s">
        <v>1973</v>
      </c>
      <c r="D388" s="116">
        <v>0</v>
      </c>
      <c r="E388" s="136" t="s">
        <v>572</v>
      </c>
      <c r="F388" s="137" t="str">
        <f t="shared" si="15"/>
        <v/>
      </c>
      <c r="G388" s="138" t="e">
        <f>IF(A388&lt;&gt;"",IF(AND(#REF!="Padrão",$H$4=#REF!),BDI!$B$17,IF(AND(#REF!="Padrão",$H$4=#REF!),BDI!#REF!,IF(AND(#REF!="Diferenciado",$H$4=#REF!),BDI!$E$17,IF(AND(#REF!="Diferenciado",$H$4=#REF!),BDI!#REF!,IF(#REF!="ZERO",0))))),"")</f>
        <v>#REF!</v>
      </c>
      <c r="H388" s="139" t="str">
        <f t="shared" si="16"/>
        <v/>
      </c>
      <c r="I388" s="137" t="str">
        <f t="shared" si="17"/>
        <v/>
      </c>
    </row>
    <row r="389" spans="1:9" hidden="1" x14ac:dyDescent="0.25">
      <c r="A389" s="114" t="s">
        <v>1974</v>
      </c>
      <c r="B389" s="115" t="s">
        <v>1975</v>
      </c>
      <c r="C389" s="116" t="s">
        <v>42</v>
      </c>
      <c r="D389" s="116">
        <v>0</v>
      </c>
      <c r="E389" s="136" t="s">
        <v>572</v>
      </c>
      <c r="F389" s="137" t="str">
        <f t="shared" si="15"/>
        <v/>
      </c>
      <c r="G389" s="138" t="e">
        <f>IF(A389&lt;&gt;"",IF(AND(#REF!="Padrão",$H$4=#REF!),BDI!$B$17,IF(AND(#REF!="Padrão",$H$4=#REF!),BDI!#REF!,IF(AND(#REF!="Diferenciado",$H$4=#REF!),BDI!$E$17,IF(AND(#REF!="Diferenciado",$H$4=#REF!),BDI!#REF!,IF(#REF!="ZERO",0))))),"")</f>
        <v>#REF!</v>
      </c>
      <c r="H389" s="139" t="str">
        <f t="shared" si="16"/>
        <v/>
      </c>
      <c r="I389" s="137" t="str">
        <f t="shared" si="17"/>
        <v/>
      </c>
    </row>
    <row r="390" spans="1:9" hidden="1" x14ac:dyDescent="0.25">
      <c r="A390" s="114" t="s">
        <v>1976</v>
      </c>
      <c r="B390" s="115" t="s">
        <v>1977</v>
      </c>
      <c r="C390" s="116" t="s">
        <v>42</v>
      </c>
      <c r="D390" s="116">
        <v>0</v>
      </c>
      <c r="E390" s="136" t="s">
        <v>572</v>
      </c>
      <c r="F390" s="137" t="str">
        <f t="shared" si="15"/>
        <v/>
      </c>
      <c r="G390" s="138" t="e">
        <f>IF(A390&lt;&gt;"",IF(AND(#REF!="Padrão",$H$4=#REF!),BDI!$B$17,IF(AND(#REF!="Padrão",$H$4=#REF!),BDI!#REF!,IF(AND(#REF!="Diferenciado",$H$4=#REF!),BDI!$E$17,IF(AND(#REF!="Diferenciado",$H$4=#REF!),BDI!#REF!,IF(#REF!="ZERO",0))))),"")</f>
        <v>#REF!</v>
      </c>
      <c r="H390" s="139" t="str">
        <f t="shared" si="16"/>
        <v/>
      </c>
      <c r="I390" s="137" t="str">
        <f t="shared" si="17"/>
        <v/>
      </c>
    </row>
    <row r="391" spans="1:9" hidden="1" x14ac:dyDescent="0.25">
      <c r="A391" s="114" t="s">
        <v>1978</v>
      </c>
      <c r="B391" s="115" t="s">
        <v>1979</v>
      </c>
      <c r="C391" s="116" t="s">
        <v>1980</v>
      </c>
      <c r="D391" s="116">
        <v>0</v>
      </c>
      <c r="E391" s="136" t="s">
        <v>572</v>
      </c>
      <c r="F391" s="137" t="str">
        <f t="shared" ref="F391:F454" si="18">IF(ISNUMBER(E391),D391*E391,"")</f>
        <v/>
      </c>
      <c r="G391" s="138" t="e">
        <f>IF(A391&lt;&gt;"",IF(AND(#REF!="Padrão",$H$4=#REF!),BDI!$B$17,IF(AND(#REF!="Padrão",$H$4=#REF!),BDI!#REF!,IF(AND(#REF!="Diferenciado",$H$4=#REF!),BDI!$E$17,IF(AND(#REF!="Diferenciado",$H$4=#REF!),BDI!#REF!,IF(#REF!="ZERO",0))))),"")</f>
        <v>#REF!</v>
      </c>
      <c r="H391" s="139" t="str">
        <f t="shared" ref="H391:H454" si="19">IF(ISNUMBER(E391),ROUND(E391*(1+G391),2),"")</f>
        <v/>
      </c>
      <c r="I391" s="137" t="str">
        <f t="shared" ref="I391:I454" si="20">IF(ISNUMBER(E391),ROUND(H391*D391,2),"")</f>
        <v/>
      </c>
    </row>
    <row r="392" spans="1:9" hidden="1" x14ac:dyDescent="0.25">
      <c r="A392" s="114" t="s">
        <v>1981</v>
      </c>
      <c r="B392" s="115" t="s">
        <v>1982</v>
      </c>
      <c r="C392" s="116" t="s">
        <v>1970</v>
      </c>
      <c r="D392" s="116">
        <v>0</v>
      </c>
      <c r="E392" s="136">
        <f ca="1">OFFSET(INDEX(Composições!A:J,MATCH(Orçamentária!A392,Composições!A:A,0),8),2,0)</f>
        <v>0</v>
      </c>
      <c r="F392" s="137">
        <f t="shared" ca="1" si="18"/>
        <v>0</v>
      </c>
      <c r="G392" s="138" t="e">
        <f>IF(A392&lt;&gt;"",IF(AND(#REF!="Padrão",$H$4=#REF!),BDI!$B$17,IF(AND(#REF!="Padrão",$H$4=#REF!),BDI!#REF!,IF(AND(#REF!="Diferenciado",$H$4=#REF!),BDI!$E$17,IF(AND(#REF!="Diferenciado",$H$4=#REF!),BDI!#REF!,IF(#REF!="ZERO",0))))),"")</f>
        <v>#REF!</v>
      </c>
      <c r="H392" s="139" t="e">
        <f t="shared" ca="1" si="19"/>
        <v>#REF!</v>
      </c>
      <c r="I392" s="137" t="e">
        <f t="shared" ca="1" si="20"/>
        <v>#REF!</v>
      </c>
    </row>
    <row r="393" spans="1:9" hidden="1" x14ac:dyDescent="0.25">
      <c r="A393" s="114" t="s">
        <v>1983</v>
      </c>
      <c r="B393" s="115" t="s">
        <v>1984</v>
      </c>
      <c r="C393" s="116" t="s">
        <v>852</v>
      </c>
      <c r="D393" s="116">
        <v>0</v>
      </c>
      <c r="E393" s="136" t="s">
        <v>572</v>
      </c>
      <c r="F393" s="137" t="str">
        <f t="shared" si="18"/>
        <v/>
      </c>
      <c r="G393" s="138" t="e">
        <f>IF(A393&lt;&gt;"",IF(AND(#REF!="Padrão",$H$4=#REF!),BDI!$B$17,IF(AND(#REF!="Padrão",$H$4=#REF!),BDI!#REF!,IF(AND(#REF!="Diferenciado",$H$4=#REF!),BDI!$E$17,IF(AND(#REF!="Diferenciado",$H$4=#REF!),BDI!#REF!,IF(#REF!="ZERO",0))))),"")</f>
        <v>#REF!</v>
      </c>
      <c r="H393" s="139" t="str">
        <f t="shared" si="19"/>
        <v/>
      </c>
      <c r="I393" s="137" t="str">
        <f t="shared" si="20"/>
        <v/>
      </c>
    </row>
    <row r="394" spans="1:9" hidden="1" x14ac:dyDescent="0.25">
      <c r="A394" s="114" t="s">
        <v>1985</v>
      </c>
      <c r="B394" s="115" t="s">
        <v>1986</v>
      </c>
      <c r="C394" s="116" t="s">
        <v>42</v>
      </c>
      <c r="D394" s="116">
        <v>0</v>
      </c>
      <c r="E394" s="136" t="s">
        <v>572</v>
      </c>
      <c r="F394" s="137" t="str">
        <f t="shared" si="18"/>
        <v/>
      </c>
      <c r="G394" s="138" t="e">
        <f>IF(A394&lt;&gt;"",IF(AND(#REF!="Padrão",$H$4=#REF!),BDI!$B$17,IF(AND(#REF!="Padrão",$H$4=#REF!),BDI!#REF!,IF(AND(#REF!="Diferenciado",$H$4=#REF!),BDI!$E$17,IF(AND(#REF!="Diferenciado",$H$4=#REF!),BDI!#REF!,IF(#REF!="ZERO",0))))),"")</f>
        <v>#REF!</v>
      </c>
      <c r="H394" s="139" t="str">
        <f t="shared" si="19"/>
        <v/>
      </c>
      <c r="I394" s="137" t="str">
        <f t="shared" si="20"/>
        <v/>
      </c>
    </row>
    <row r="395" spans="1:9" hidden="1" x14ac:dyDescent="0.25">
      <c r="A395" s="114" t="s">
        <v>1987</v>
      </c>
      <c r="B395" s="115" t="s">
        <v>1988</v>
      </c>
      <c r="C395" s="116" t="s">
        <v>94</v>
      </c>
      <c r="D395" s="116">
        <v>0</v>
      </c>
      <c r="E395" s="136" t="s">
        <v>572</v>
      </c>
      <c r="F395" s="137" t="str">
        <f t="shared" si="18"/>
        <v/>
      </c>
      <c r="G395" s="138" t="e">
        <f>IF(A395&lt;&gt;"",IF(AND(#REF!="Padrão",$H$4=#REF!),BDI!$B$17,IF(AND(#REF!="Padrão",$H$4=#REF!),BDI!#REF!,IF(AND(#REF!="Diferenciado",$H$4=#REF!),BDI!$E$17,IF(AND(#REF!="Diferenciado",$H$4=#REF!),BDI!#REF!,IF(#REF!="ZERO",0))))),"")</f>
        <v>#REF!</v>
      </c>
      <c r="H395" s="139" t="str">
        <f t="shared" si="19"/>
        <v/>
      </c>
      <c r="I395" s="137" t="str">
        <f t="shared" si="20"/>
        <v/>
      </c>
    </row>
    <row r="396" spans="1:9" hidden="1" x14ac:dyDescent="0.25">
      <c r="A396" s="114" t="s">
        <v>1989</v>
      </c>
      <c r="B396" s="115" t="s">
        <v>1990</v>
      </c>
      <c r="C396" s="116" t="s">
        <v>94</v>
      </c>
      <c r="D396" s="116">
        <v>0</v>
      </c>
      <c r="E396" s="136" t="s">
        <v>572</v>
      </c>
      <c r="F396" s="137" t="str">
        <f t="shared" si="18"/>
        <v/>
      </c>
      <c r="G396" s="138" t="e">
        <f>IF(A396&lt;&gt;"",IF(AND(#REF!="Padrão",$H$4=#REF!),BDI!$B$17,IF(AND(#REF!="Padrão",$H$4=#REF!),BDI!#REF!,IF(AND(#REF!="Diferenciado",$H$4=#REF!),BDI!$E$17,IF(AND(#REF!="Diferenciado",$H$4=#REF!),BDI!#REF!,IF(#REF!="ZERO",0))))),"")</f>
        <v>#REF!</v>
      </c>
      <c r="H396" s="139" t="str">
        <f t="shared" si="19"/>
        <v/>
      </c>
      <c r="I396" s="137" t="str">
        <f t="shared" si="20"/>
        <v/>
      </c>
    </row>
    <row r="397" spans="1:9" hidden="1" x14ac:dyDescent="0.25">
      <c r="A397" s="114" t="s">
        <v>1991</v>
      </c>
      <c r="B397" s="115" t="s">
        <v>1992</v>
      </c>
      <c r="C397" s="116" t="s">
        <v>94</v>
      </c>
      <c r="D397" s="116">
        <v>0</v>
      </c>
      <c r="E397" s="136" t="s">
        <v>572</v>
      </c>
      <c r="F397" s="137" t="str">
        <f t="shared" si="18"/>
        <v/>
      </c>
      <c r="G397" s="138" t="e">
        <f>IF(A397&lt;&gt;"",IF(AND(#REF!="Padrão",$H$4=#REF!),BDI!$B$17,IF(AND(#REF!="Padrão",$H$4=#REF!),BDI!#REF!,IF(AND(#REF!="Diferenciado",$H$4=#REF!),BDI!$E$17,IF(AND(#REF!="Diferenciado",$H$4=#REF!),BDI!#REF!,IF(#REF!="ZERO",0))))),"")</f>
        <v>#REF!</v>
      </c>
      <c r="H397" s="139" t="str">
        <f t="shared" si="19"/>
        <v/>
      </c>
      <c r="I397" s="137" t="str">
        <f t="shared" si="20"/>
        <v/>
      </c>
    </row>
    <row r="398" spans="1:9" hidden="1" x14ac:dyDescent="0.25">
      <c r="A398" s="114" t="s">
        <v>1993</v>
      </c>
      <c r="B398" s="115" t="s">
        <v>1994</v>
      </c>
      <c r="C398" s="116" t="s">
        <v>94</v>
      </c>
      <c r="D398" s="116">
        <v>0</v>
      </c>
      <c r="E398" s="136" t="s">
        <v>572</v>
      </c>
      <c r="F398" s="137" t="str">
        <f t="shared" si="18"/>
        <v/>
      </c>
      <c r="G398" s="138" t="e">
        <f>IF(A398&lt;&gt;"",IF(AND(#REF!="Padrão",$H$4=#REF!),BDI!$B$17,IF(AND(#REF!="Padrão",$H$4=#REF!),BDI!#REF!,IF(AND(#REF!="Diferenciado",$H$4=#REF!),BDI!$E$17,IF(AND(#REF!="Diferenciado",$H$4=#REF!),BDI!#REF!,IF(#REF!="ZERO",0))))),"")</f>
        <v>#REF!</v>
      </c>
      <c r="H398" s="139" t="str">
        <f t="shared" si="19"/>
        <v/>
      </c>
      <c r="I398" s="137" t="str">
        <f t="shared" si="20"/>
        <v/>
      </c>
    </row>
    <row r="399" spans="1:9" hidden="1" x14ac:dyDescent="0.25">
      <c r="A399" s="114" t="s">
        <v>1995</v>
      </c>
      <c r="B399" s="115" t="s">
        <v>1996</v>
      </c>
      <c r="C399" s="116" t="s">
        <v>20</v>
      </c>
      <c r="D399" s="116">
        <v>0</v>
      </c>
      <c r="E399" s="136" t="s">
        <v>572</v>
      </c>
      <c r="F399" s="137" t="str">
        <f t="shared" si="18"/>
        <v/>
      </c>
      <c r="G399" s="138" t="e">
        <f>IF(A399&lt;&gt;"",IF(AND(#REF!="Padrão",$H$4=#REF!),BDI!$B$17,IF(AND(#REF!="Padrão",$H$4=#REF!),BDI!#REF!,IF(AND(#REF!="Diferenciado",$H$4=#REF!),BDI!$E$17,IF(AND(#REF!="Diferenciado",$H$4=#REF!),BDI!#REF!,IF(#REF!="ZERO",0))))),"")</f>
        <v>#REF!</v>
      </c>
      <c r="H399" s="139" t="str">
        <f t="shared" si="19"/>
        <v/>
      </c>
      <c r="I399" s="137" t="str">
        <f t="shared" si="20"/>
        <v/>
      </c>
    </row>
    <row r="400" spans="1:9" hidden="1" x14ac:dyDescent="0.25">
      <c r="A400" s="114" t="s">
        <v>1997</v>
      </c>
      <c r="B400" s="115" t="s">
        <v>1998</v>
      </c>
      <c r="C400" s="116" t="s">
        <v>20</v>
      </c>
      <c r="D400" s="116">
        <v>0</v>
      </c>
      <c r="E400" s="136" t="s">
        <v>572</v>
      </c>
      <c r="F400" s="137" t="str">
        <f t="shared" si="18"/>
        <v/>
      </c>
      <c r="G400" s="138" t="e">
        <f>IF(A400&lt;&gt;"",IF(AND(#REF!="Padrão",$H$4=#REF!),BDI!$B$17,IF(AND(#REF!="Padrão",$H$4=#REF!),BDI!#REF!,IF(AND(#REF!="Diferenciado",$H$4=#REF!),BDI!$E$17,IF(AND(#REF!="Diferenciado",$H$4=#REF!),BDI!#REF!,IF(#REF!="ZERO",0))))),"")</f>
        <v>#REF!</v>
      </c>
      <c r="H400" s="139" t="str">
        <f t="shared" si="19"/>
        <v/>
      </c>
      <c r="I400" s="137" t="str">
        <f t="shared" si="20"/>
        <v/>
      </c>
    </row>
    <row r="401" spans="1:9" hidden="1" x14ac:dyDescent="0.25">
      <c r="A401" s="114" t="s">
        <v>1999</v>
      </c>
      <c r="B401" s="115" t="s">
        <v>2000</v>
      </c>
      <c r="C401" s="116" t="s">
        <v>20</v>
      </c>
      <c r="D401" s="116">
        <v>0</v>
      </c>
      <c r="E401" s="136" t="s">
        <v>572</v>
      </c>
      <c r="F401" s="137" t="str">
        <f t="shared" si="18"/>
        <v/>
      </c>
      <c r="G401" s="138" t="e">
        <f>IF(A401&lt;&gt;"",IF(AND(#REF!="Padrão",$H$4=#REF!),BDI!$B$17,IF(AND(#REF!="Padrão",$H$4=#REF!),BDI!#REF!,IF(AND(#REF!="Diferenciado",$H$4=#REF!),BDI!$E$17,IF(AND(#REF!="Diferenciado",$H$4=#REF!),BDI!#REF!,IF(#REF!="ZERO",0))))),"")</f>
        <v>#REF!</v>
      </c>
      <c r="H401" s="139" t="str">
        <f t="shared" si="19"/>
        <v/>
      </c>
      <c r="I401" s="137" t="str">
        <f t="shared" si="20"/>
        <v/>
      </c>
    </row>
    <row r="402" spans="1:9" hidden="1" x14ac:dyDescent="0.25">
      <c r="A402" s="114" t="s">
        <v>2001</v>
      </c>
      <c r="B402" s="115" t="s">
        <v>2002</v>
      </c>
      <c r="C402" s="116" t="s">
        <v>20</v>
      </c>
      <c r="D402" s="116">
        <v>0</v>
      </c>
      <c r="E402" s="136" t="s">
        <v>572</v>
      </c>
      <c r="F402" s="137" t="str">
        <f t="shared" si="18"/>
        <v/>
      </c>
      <c r="G402" s="138" t="e">
        <f>IF(A402&lt;&gt;"",IF(AND(#REF!="Padrão",$H$4=#REF!),BDI!$B$17,IF(AND(#REF!="Padrão",$H$4=#REF!),BDI!#REF!,IF(AND(#REF!="Diferenciado",$H$4=#REF!),BDI!$E$17,IF(AND(#REF!="Diferenciado",$H$4=#REF!),BDI!#REF!,IF(#REF!="ZERO",0))))),"")</f>
        <v>#REF!</v>
      </c>
      <c r="H402" s="139" t="str">
        <f t="shared" si="19"/>
        <v/>
      </c>
      <c r="I402" s="137" t="str">
        <f t="shared" si="20"/>
        <v/>
      </c>
    </row>
    <row r="403" spans="1:9" hidden="1" x14ac:dyDescent="0.25">
      <c r="A403" s="114" t="s">
        <v>2003</v>
      </c>
      <c r="B403" s="115" t="s">
        <v>2004</v>
      </c>
      <c r="C403" s="116" t="s">
        <v>94</v>
      </c>
      <c r="D403" s="116">
        <v>0</v>
      </c>
      <c r="E403" s="136" t="s">
        <v>572</v>
      </c>
      <c r="F403" s="137" t="str">
        <f t="shared" si="18"/>
        <v/>
      </c>
      <c r="G403" s="138" t="e">
        <f>IF(A403&lt;&gt;"",IF(AND(#REF!="Padrão",$H$4=#REF!),BDI!$B$17,IF(AND(#REF!="Padrão",$H$4=#REF!),BDI!#REF!,IF(AND(#REF!="Diferenciado",$H$4=#REF!),BDI!$E$17,IF(AND(#REF!="Diferenciado",$H$4=#REF!),BDI!#REF!,IF(#REF!="ZERO",0))))),"")</f>
        <v>#REF!</v>
      </c>
      <c r="H403" s="139" t="str">
        <f t="shared" si="19"/>
        <v/>
      </c>
      <c r="I403" s="137" t="str">
        <f t="shared" si="20"/>
        <v/>
      </c>
    </row>
    <row r="404" spans="1:9" hidden="1" x14ac:dyDescent="0.25">
      <c r="A404" s="114" t="s">
        <v>2005</v>
      </c>
      <c r="B404" s="115" t="s">
        <v>2006</v>
      </c>
      <c r="C404" s="116" t="s">
        <v>94</v>
      </c>
      <c r="D404" s="116">
        <v>0</v>
      </c>
      <c r="E404" s="136" t="s">
        <v>572</v>
      </c>
      <c r="F404" s="137" t="str">
        <f t="shared" si="18"/>
        <v/>
      </c>
      <c r="G404" s="138" t="e">
        <f>IF(A404&lt;&gt;"",IF(AND(#REF!="Padrão",$H$4=#REF!),BDI!$B$17,IF(AND(#REF!="Padrão",$H$4=#REF!),BDI!#REF!,IF(AND(#REF!="Diferenciado",$H$4=#REF!),BDI!$E$17,IF(AND(#REF!="Diferenciado",$H$4=#REF!),BDI!#REF!,IF(#REF!="ZERO",0))))),"")</f>
        <v>#REF!</v>
      </c>
      <c r="H404" s="139" t="str">
        <f t="shared" si="19"/>
        <v/>
      </c>
      <c r="I404" s="137" t="str">
        <f t="shared" si="20"/>
        <v/>
      </c>
    </row>
    <row r="405" spans="1:9" hidden="1" x14ac:dyDescent="0.25">
      <c r="A405" s="114" t="s">
        <v>2007</v>
      </c>
      <c r="B405" s="115" t="s">
        <v>2008</v>
      </c>
      <c r="C405" s="116" t="s">
        <v>20</v>
      </c>
      <c r="D405" s="116">
        <v>0</v>
      </c>
      <c r="E405" s="136" t="s">
        <v>572</v>
      </c>
      <c r="F405" s="137" t="str">
        <f t="shared" si="18"/>
        <v/>
      </c>
      <c r="G405" s="138" t="e">
        <f>IF(A405&lt;&gt;"",IF(AND(#REF!="Padrão",$H$4=#REF!),BDI!$B$17,IF(AND(#REF!="Padrão",$H$4=#REF!),BDI!#REF!,IF(AND(#REF!="Diferenciado",$H$4=#REF!),BDI!$E$17,IF(AND(#REF!="Diferenciado",$H$4=#REF!),BDI!#REF!,IF(#REF!="ZERO",0))))),"")</f>
        <v>#REF!</v>
      </c>
      <c r="H405" s="139" t="str">
        <f t="shared" si="19"/>
        <v/>
      </c>
      <c r="I405" s="137" t="str">
        <f t="shared" si="20"/>
        <v/>
      </c>
    </row>
    <row r="406" spans="1:9" hidden="1" x14ac:dyDescent="0.25">
      <c r="A406" s="114" t="s">
        <v>2009</v>
      </c>
      <c r="B406" s="115" t="s">
        <v>2010</v>
      </c>
      <c r="C406" s="116" t="s">
        <v>94</v>
      </c>
      <c r="D406" s="116">
        <v>0</v>
      </c>
      <c r="E406" s="136" t="s">
        <v>572</v>
      </c>
      <c r="F406" s="137" t="str">
        <f t="shared" si="18"/>
        <v/>
      </c>
      <c r="G406" s="138" t="e">
        <f>IF(A406&lt;&gt;"",IF(AND(#REF!="Padrão",$H$4=#REF!),BDI!$B$17,IF(AND(#REF!="Padrão",$H$4=#REF!),BDI!#REF!,IF(AND(#REF!="Diferenciado",$H$4=#REF!),BDI!$E$17,IF(AND(#REF!="Diferenciado",$H$4=#REF!),BDI!#REF!,IF(#REF!="ZERO",0))))),"")</f>
        <v>#REF!</v>
      </c>
      <c r="H406" s="139" t="str">
        <f t="shared" si="19"/>
        <v/>
      </c>
      <c r="I406" s="137" t="str">
        <f t="shared" si="20"/>
        <v/>
      </c>
    </row>
    <row r="407" spans="1:9" hidden="1" x14ac:dyDescent="0.25">
      <c r="A407" s="114" t="s">
        <v>2011</v>
      </c>
      <c r="B407" s="115" t="s">
        <v>2012</v>
      </c>
      <c r="C407" s="116" t="s">
        <v>20</v>
      </c>
      <c r="D407" s="116">
        <v>0</v>
      </c>
      <c r="E407" s="136" t="s">
        <v>572</v>
      </c>
      <c r="F407" s="137" t="str">
        <f t="shared" si="18"/>
        <v/>
      </c>
      <c r="G407" s="138" t="e">
        <f>IF(A407&lt;&gt;"",IF(AND(#REF!="Padrão",$H$4=#REF!),BDI!$B$17,IF(AND(#REF!="Padrão",$H$4=#REF!),BDI!#REF!,IF(AND(#REF!="Diferenciado",$H$4=#REF!),BDI!$E$17,IF(AND(#REF!="Diferenciado",$H$4=#REF!),BDI!#REF!,IF(#REF!="ZERO",0))))),"")</f>
        <v>#REF!</v>
      </c>
      <c r="H407" s="139" t="str">
        <f t="shared" si="19"/>
        <v/>
      </c>
      <c r="I407" s="137" t="str">
        <f t="shared" si="20"/>
        <v/>
      </c>
    </row>
    <row r="408" spans="1:9" hidden="1" x14ac:dyDescent="0.25">
      <c r="A408" s="114" t="s">
        <v>2013</v>
      </c>
      <c r="B408" s="115" t="s">
        <v>2014</v>
      </c>
      <c r="C408" s="116" t="s">
        <v>20</v>
      </c>
      <c r="D408" s="116">
        <v>0</v>
      </c>
      <c r="E408" s="136" t="s">
        <v>572</v>
      </c>
      <c r="F408" s="137" t="str">
        <f t="shared" si="18"/>
        <v/>
      </c>
      <c r="G408" s="138" t="e">
        <f>IF(A408&lt;&gt;"",IF(AND(#REF!="Padrão",$H$4=#REF!),BDI!$B$17,IF(AND(#REF!="Padrão",$H$4=#REF!),BDI!#REF!,IF(AND(#REF!="Diferenciado",$H$4=#REF!),BDI!$E$17,IF(AND(#REF!="Diferenciado",$H$4=#REF!),BDI!#REF!,IF(#REF!="ZERO",0))))),"")</f>
        <v>#REF!</v>
      </c>
      <c r="H408" s="139" t="str">
        <f t="shared" si="19"/>
        <v/>
      </c>
      <c r="I408" s="137" t="str">
        <f t="shared" si="20"/>
        <v/>
      </c>
    </row>
    <row r="409" spans="1:9" hidden="1" x14ac:dyDescent="0.25">
      <c r="A409" s="114" t="s">
        <v>2015</v>
      </c>
      <c r="B409" s="115" t="s">
        <v>2016</v>
      </c>
      <c r="C409" s="116" t="s">
        <v>20</v>
      </c>
      <c r="D409" s="116">
        <v>0</v>
      </c>
      <c r="E409" s="136" t="s">
        <v>572</v>
      </c>
      <c r="F409" s="137" t="str">
        <f t="shared" si="18"/>
        <v/>
      </c>
      <c r="G409" s="138" t="e">
        <f>IF(A409&lt;&gt;"",IF(AND(#REF!="Padrão",$H$4=#REF!),BDI!$B$17,IF(AND(#REF!="Padrão",$H$4=#REF!),BDI!#REF!,IF(AND(#REF!="Diferenciado",$H$4=#REF!),BDI!$E$17,IF(AND(#REF!="Diferenciado",$H$4=#REF!),BDI!#REF!,IF(#REF!="ZERO",0))))),"")</f>
        <v>#REF!</v>
      </c>
      <c r="H409" s="139" t="str">
        <f t="shared" si="19"/>
        <v/>
      </c>
      <c r="I409" s="137" t="str">
        <f t="shared" si="20"/>
        <v/>
      </c>
    </row>
    <row r="410" spans="1:9" hidden="1" x14ac:dyDescent="0.25">
      <c r="A410" s="114" t="s">
        <v>2017</v>
      </c>
      <c r="B410" s="115" t="s">
        <v>2018</v>
      </c>
      <c r="C410" s="116" t="s">
        <v>20</v>
      </c>
      <c r="D410" s="116">
        <v>0</v>
      </c>
      <c r="E410" s="136">
        <f ca="1">OFFSET(INDEX(Composições!A:J,MATCH(Orçamentária!A410,Composições!A:A,0),8),2,0)</f>
        <v>14.782</v>
      </c>
      <c r="F410" s="137">
        <f t="shared" ca="1" si="18"/>
        <v>0</v>
      </c>
      <c r="G410" s="138" t="e">
        <f>IF(A410&lt;&gt;"",IF(AND(#REF!="Padrão",$H$4=#REF!),BDI!$B$17,IF(AND(#REF!="Padrão",$H$4=#REF!),BDI!#REF!,IF(AND(#REF!="Diferenciado",$H$4=#REF!),BDI!$E$17,IF(AND(#REF!="Diferenciado",$H$4=#REF!),BDI!#REF!,IF(#REF!="ZERO",0))))),"")</f>
        <v>#REF!</v>
      </c>
      <c r="H410" s="139" t="e">
        <f t="shared" ca="1" si="19"/>
        <v>#REF!</v>
      </c>
      <c r="I410" s="137" t="e">
        <f t="shared" ca="1" si="20"/>
        <v>#REF!</v>
      </c>
    </row>
    <row r="411" spans="1:9" hidden="1" x14ac:dyDescent="0.25">
      <c r="A411" s="114" t="s">
        <v>2019</v>
      </c>
      <c r="B411" s="115" t="s">
        <v>2020</v>
      </c>
      <c r="C411" s="116" t="s">
        <v>20</v>
      </c>
      <c r="D411" s="116">
        <v>0</v>
      </c>
      <c r="E411" s="136" t="s">
        <v>572</v>
      </c>
      <c r="F411" s="137" t="str">
        <f t="shared" si="18"/>
        <v/>
      </c>
      <c r="G411" s="138" t="e">
        <f>IF(A411&lt;&gt;"",IF(AND(#REF!="Padrão",$H$4=#REF!),BDI!$B$17,IF(AND(#REF!="Padrão",$H$4=#REF!),BDI!#REF!,IF(AND(#REF!="Diferenciado",$H$4=#REF!),BDI!$E$17,IF(AND(#REF!="Diferenciado",$H$4=#REF!),BDI!#REF!,IF(#REF!="ZERO",0))))),"")</f>
        <v>#REF!</v>
      </c>
      <c r="H411" s="139" t="str">
        <f t="shared" si="19"/>
        <v/>
      </c>
      <c r="I411" s="137" t="str">
        <f t="shared" si="20"/>
        <v/>
      </c>
    </row>
    <row r="412" spans="1:9" hidden="1" x14ac:dyDescent="0.25">
      <c r="A412" s="114" t="s">
        <v>2021</v>
      </c>
      <c r="B412" s="115" t="s">
        <v>2022</v>
      </c>
      <c r="C412" s="116" t="s">
        <v>20</v>
      </c>
      <c r="D412" s="116">
        <v>0</v>
      </c>
      <c r="E412" s="136">
        <f ca="1">OFFSET(INDEX(Composições!A:J,MATCH(Orçamentária!A412,Composições!A:A,0),8),2,0)</f>
        <v>56.904999999999994</v>
      </c>
      <c r="F412" s="137">
        <f t="shared" ca="1" si="18"/>
        <v>0</v>
      </c>
      <c r="G412" s="138" t="e">
        <f>IF(A412&lt;&gt;"",IF(AND(#REF!="Padrão",$H$4=#REF!),BDI!$B$17,IF(AND(#REF!="Padrão",$H$4=#REF!),BDI!#REF!,IF(AND(#REF!="Diferenciado",$H$4=#REF!),BDI!$E$17,IF(AND(#REF!="Diferenciado",$H$4=#REF!),BDI!#REF!,IF(#REF!="ZERO",0))))),"")</f>
        <v>#REF!</v>
      </c>
      <c r="H412" s="139" t="e">
        <f t="shared" ca="1" si="19"/>
        <v>#REF!</v>
      </c>
      <c r="I412" s="137" t="e">
        <f t="shared" ca="1" si="20"/>
        <v>#REF!</v>
      </c>
    </row>
    <row r="413" spans="1:9" hidden="1" x14ac:dyDescent="0.25">
      <c r="A413" s="114" t="s">
        <v>796</v>
      </c>
      <c r="B413" s="115" t="s">
        <v>2023</v>
      </c>
      <c r="C413" s="116" t="s">
        <v>20</v>
      </c>
      <c r="D413" s="116">
        <v>0</v>
      </c>
      <c r="E413" s="136">
        <f ca="1">OFFSET(INDEX(Composições!A:J,MATCH(Orçamentária!A413,Composições!A:A,0),8),2,0)</f>
        <v>73.957499999999996</v>
      </c>
      <c r="F413" s="137">
        <f t="shared" ca="1" si="18"/>
        <v>0</v>
      </c>
      <c r="G413" s="138" t="e">
        <f>IF(A413&lt;&gt;"",IF(AND(#REF!="Padrão",$H$4=#REF!),BDI!$B$17,IF(AND(#REF!="Padrão",$H$4=#REF!),BDI!#REF!,IF(AND(#REF!="Diferenciado",$H$4=#REF!),BDI!$E$17,IF(AND(#REF!="Diferenciado",$H$4=#REF!),BDI!#REF!,IF(#REF!="ZERO",0))))),"")</f>
        <v>#REF!</v>
      </c>
      <c r="H413" s="139" t="e">
        <f t="shared" ca="1" si="19"/>
        <v>#REF!</v>
      </c>
      <c r="I413" s="137" t="e">
        <f t="shared" ca="1" si="20"/>
        <v>#REF!</v>
      </c>
    </row>
    <row r="414" spans="1:9" hidden="1" x14ac:dyDescent="0.25">
      <c r="A414" s="114" t="s">
        <v>2024</v>
      </c>
      <c r="B414" s="115" t="s">
        <v>2025</v>
      </c>
      <c r="C414" s="116" t="s">
        <v>20</v>
      </c>
      <c r="D414" s="116">
        <v>0</v>
      </c>
      <c r="E414" s="136">
        <f ca="1">OFFSET(INDEX(Composições!A:J,MATCH(Orçamentária!A414,Composições!A:A,0),8),2,0)</f>
        <v>44.744999999999997</v>
      </c>
      <c r="F414" s="137">
        <f t="shared" ca="1" si="18"/>
        <v>0</v>
      </c>
      <c r="G414" s="138" t="e">
        <f>IF(A414&lt;&gt;"",IF(AND(#REF!="Padrão",$H$4=#REF!),BDI!$B$17,IF(AND(#REF!="Padrão",$H$4=#REF!),BDI!#REF!,IF(AND(#REF!="Diferenciado",$H$4=#REF!),BDI!$E$17,IF(AND(#REF!="Diferenciado",$H$4=#REF!),BDI!#REF!,IF(#REF!="ZERO",0))))),"")</f>
        <v>#REF!</v>
      </c>
      <c r="H414" s="139" t="e">
        <f t="shared" ca="1" si="19"/>
        <v>#REF!</v>
      </c>
      <c r="I414" s="137" t="e">
        <f t="shared" ca="1" si="20"/>
        <v>#REF!</v>
      </c>
    </row>
    <row r="415" spans="1:9" hidden="1" x14ac:dyDescent="0.25">
      <c r="A415" s="114" t="s">
        <v>2026</v>
      </c>
      <c r="B415" s="115" t="s">
        <v>2027</v>
      </c>
      <c r="C415" s="116" t="s">
        <v>20</v>
      </c>
      <c r="D415" s="116">
        <v>0</v>
      </c>
      <c r="E415" s="136" t="s">
        <v>572</v>
      </c>
      <c r="F415" s="137" t="str">
        <f t="shared" si="18"/>
        <v/>
      </c>
      <c r="G415" s="138" t="e">
        <f>IF(A415&lt;&gt;"",IF(AND(#REF!="Padrão",$H$4=#REF!),BDI!$B$17,IF(AND(#REF!="Padrão",$H$4=#REF!),BDI!#REF!,IF(AND(#REF!="Diferenciado",$H$4=#REF!),BDI!$E$17,IF(AND(#REF!="Diferenciado",$H$4=#REF!),BDI!#REF!,IF(#REF!="ZERO",0))))),"")</f>
        <v>#REF!</v>
      </c>
      <c r="H415" s="139" t="str">
        <f t="shared" si="19"/>
        <v/>
      </c>
      <c r="I415" s="137" t="str">
        <f t="shared" si="20"/>
        <v/>
      </c>
    </row>
    <row r="416" spans="1:9" hidden="1" x14ac:dyDescent="0.25">
      <c r="A416" s="114" t="s">
        <v>2028</v>
      </c>
      <c r="B416" s="115" t="s">
        <v>2029</v>
      </c>
      <c r="C416" s="116" t="s">
        <v>20</v>
      </c>
      <c r="D416" s="116">
        <v>0</v>
      </c>
      <c r="E416" s="136">
        <f ca="1">OFFSET(INDEX(Composições!A:J,MATCH(Orçamentária!A416,Composições!A:A,0),8),2,0)</f>
        <v>38.826499999999996</v>
      </c>
      <c r="F416" s="137">
        <f t="shared" ca="1" si="18"/>
        <v>0</v>
      </c>
      <c r="G416" s="138" t="e">
        <f>IF(A416&lt;&gt;"",IF(AND(#REF!="Padrão",$H$4=#REF!),BDI!$B$17,IF(AND(#REF!="Padrão",$H$4=#REF!),BDI!#REF!,IF(AND(#REF!="Diferenciado",$H$4=#REF!),BDI!$E$17,IF(AND(#REF!="Diferenciado",$H$4=#REF!),BDI!#REF!,IF(#REF!="ZERO",0))))),"")</f>
        <v>#REF!</v>
      </c>
      <c r="H416" s="139" t="e">
        <f t="shared" ca="1" si="19"/>
        <v>#REF!</v>
      </c>
      <c r="I416" s="137" t="e">
        <f t="shared" ca="1" si="20"/>
        <v>#REF!</v>
      </c>
    </row>
    <row r="417" spans="1:9" hidden="1" x14ac:dyDescent="0.25">
      <c r="A417" s="114" t="s">
        <v>2030</v>
      </c>
      <c r="B417" s="115" t="s">
        <v>2031</v>
      </c>
      <c r="C417" s="116" t="s">
        <v>20</v>
      </c>
      <c r="D417" s="116">
        <v>0</v>
      </c>
      <c r="E417" s="136" t="s">
        <v>572</v>
      </c>
      <c r="F417" s="137" t="str">
        <f t="shared" si="18"/>
        <v/>
      </c>
      <c r="G417" s="138" t="e">
        <f>IF(A417&lt;&gt;"",IF(AND(#REF!="Padrão",$H$4=#REF!),BDI!$B$17,IF(AND(#REF!="Padrão",$H$4=#REF!),BDI!#REF!,IF(AND(#REF!="Diferenciado",$H$4=#REF!),BDI!$E$17,IF(AND(#REF!="Diferenciado",$H$4=#REF!),BDI!#REF!,IF(#REF!="ZERO",0))))),"")</f>
        <v>#REF!</v>
      </c>
      <c r="H417" s="139" t="str">
        <f t="shared" si="19"/>
        <v/>
      </c>
      <c r="I417" s="137" t="str">
        <f t="shared" si="20"/>
        <v/>
      </c>
    </row>
    <row r="418" spans="1:9" hidden="1" x14ac:dyDescent="0.25">
      <c r="A418" s="114" t="s">
        <v>2032</v>
      </c>
      <c r="B418" s="115" t="s">
        <v>2033</v>
      </c>
      <c r="C418" s="116" t="s">
        <v>20</v>
      </c>
      <c r="D418" s="116">
        <v>0</v>
      </c>
      <c r="E418" s="136" t="s">
        <v>572</v>
      </c>
      <c r="F418" s="137" t="str">
        <f t="shared" si="18"/>
        <v/>
      </c>
      <c r="G418" s="138" t="e">
        <f>IF(A418&lt;&gt;"",IF(AND(#REF!="Padrão",$H$4=#REF!),BDI!$B$17,IF(AND(#REF!="Padrão",$H$4=#REF!),BDI!#REF!,IF(AND(#REF!="Diferenciado",$H$4=#REF!),BDI!$E$17,IF(AND(#REF!="Diferenciado",$H$4=#REF!),BDI!#REF!,IF(#REF!="ZERO",0))))),"")</f>
        <v>#REF!</v>
      </c>
      <c r="H418" s="139" t="str">
        <f t="shared" si="19"/>
        <v/>
      </c>
      <c r="I418" s="137" t="str">
        <f t="shared" si="20"/>
        <v/>
      </c>
    </row>
    <row r="419" spans="1:9" hidden="1" x14ac:dyDescent="0.25">
      <c r="A419" s="114" t="s">
        <v>2034</v>
      </c>
      <c r="B419" s="115" t="s">
        <v>2035</v>
      </c>
      <c r="C419" s="116" t="s">
        <v>20</v>
      </c>
      <c r="D419" s="116">
        <v>0</v>
      </c>
      <c r="E419" s="136">
        <f ca="1">OFFSET(INDEX(Composições!A:J,MATCH(Orçamentária!A419,Composições!A:A,0),8),2,0)</f>
        <v>11.2385</v>
      </c>
      <c r="F419" s="137">
        <f t="shared" ca="1" si="18"/>
        <v>0</v>
      </c>
      <c r="G419" s="138" t="e">
        <f>IF(A419&lt;&gt;"",IF(AND(#REF!="Padrão",$H$4=#REF!),BDI!$B$17,IF(AND(#REF!="Padrão",$H$4=#REF!),BDI!#REF!,IF(AND(#REF!="Diferenciado",$H$4=#REF!),BDI!$E$17,IF(AND(#REF!="Diferenciado",$H$4=#REF!),BDI!#REF!,IF(#REF!="ZERO",0))))),"")</f>
        <v>#REF!</v>
      </c>
      <c r="H419" s="139" t="e">
        <f t="shared" ca="1" si="19"/>
        <v>#REF!</v>
      </c>
      <c r="I419" s="137" t="e">
        <f t="shared" ca="1" si="20"/>
        <v>#REF!</v>
      </c>
    </row>
    <row r="420" spans="1:9" hidden="1" x14ac:dyDescent="0.25">
      <c r="A420" s="114" t="s">
        <v>2036</v>
      </c>
      <c r="B420" s="115" t="s">
        <v>2037</v>
      </c>
      <c r="C420" s="116" t="s">
        <v>20</v>
      </c>
      <c r="D420" s="116">
        <v>0</v>
      </c>
      <c r="E420" s="136">
        <f ca="1">OFFSET(INDEX(Composições!A:J,MATCH(Orçamentária!A420,Composições!A:A,0),8),2,0)</f>
        <v>11.228999999999999</v>
      </c>
      <c r="F420" s="137">
        <f t="shared" ca="1" si="18"/>
        <v>0</v>
      </c>
      <c r="G420" s="138" t="e">
        <f>IF(A420&lt;&gt;"",IF(AND(#REF!="Padrão",$H$4=#REF!),BDI!$B$17,IF(AND(#REF!="Padrão",$H$4=#REF!),BDI!#REF!,IF(AND(#REF!="Diferenciado",$H$4=#REF!),BDI!$E$17,IF(AND(#REF!="Diferenciado",$H$4=#REF!),BDI!#REF!,IF(#REF!="ZERO",0))))),"")</f>
        <v>#REF!</v>
      </c>
      <c r="H420" s="139" t="e">
        <f t="shared" ca="1" si="19"/>
        <v>#REF!</v>
      </c>
      <c r="I420" s="137" t="e">
        <f t="shared" ca="1" si="20"/>
        <v>#REF!</v>
      </c>
    </row>
    <row r="421" spans="1:9" hidden="1" x14ac:dyDescent="0.25">
      <c r="A421" s="114" t="s">
        <v>2038</v>
      </c>
      <c r="B421" s="115" t="s">
        <v>2039</v>
      </c>
      <c r="C421" s="116" t="s">
        <v>20</v>
      </c>
      <c r="D421" s="116">
        <v>0</v>
      </c>
      <c r="E421" s="136">
        <f ca="1">OFFSET(INDEX(Composições!A:J,MATCH(Orçamentária!A421,Composições!A:A,0),8),2,0)</f>
        <v>11.228999999999999</v>
      </c>
      <c r="F421" s="137">
        <f t="shared" ca="1" si="18"/>
        <v>0</v>
      </c>
      <c r="G421" s="138" t="e">
        <f>IF(A421&lt;&gt;"",IF(AND(#REF!="Padrão",$H$4=#REF!),BDI!$B$17,IF(AND(#REF!="Padrão",$H$4=#REF!),BDI!#REF!,IF(AND(#REF!="Diferenciado",$H$4=#REF!),BDI!$E$17,IF(AND(#REF!="Diferenciado",$H$4=#REF!),BDI!#REF!,IF(#REF!="ZERO",0))))),"")</f>
        <v>#REF!</v>
      </c>
      <c r="H421" s="139" t="e">
        <f t="shared" ca="1" si="19"/>
        <v>#REF!</v>
      </c>
      <c r="I421" s="137" t="e">
        <f t="shared" ca="1" si="20"/>
        <v>#REF!</v>
      </c>
    </row>
    <row r="422" spans="1:9" hidden="1" x14ac:dyDescent="0.25">
      <c r="A422" s="114" t="s">
        <v>2040</v>
      </c>
      <c r="B422" s="115" t="s">
        <v>2041</v>
      </c>
      <c r="C422" s="116" t="s">
        <v>20</v>
      </c>
      <c r="D422" s="116">
        <v>0</v>
      </c>
      <c r="E422" s="136" t="s">
        <v>572</v>
      </c>
      <c r="F422" s="137" t="str">
        <f t="shared" si="18"/>
        <v/>
      </c>
      <c r="G422" s="138" t="e">
        <f>IF(A422&lt;&gt;"",IF(AND(#REF!="Padrão",$H$4=#REF!),BDI!$B$17,IF(AND(#REF!="Padrão",$H$4=#REF!),BDI!#REF!,IF(AND(#REF!="Diferenciado",$H$4=#REF!),BDI!$E$17,IF(AND(#REF!="Diferenciado",$H$4=#REF!),BDI!#REF!,IF(#REF!="ZERO",0))))),"")</f>
        <v>#REF!</v>
      </c>
      <c r="H422" s="139" t="str">
        <f t="shared" si="19"/>
        <v/>
      </c>
      <c r="I422" s="137" t="str">
        <f t="shared" si="20"/>
        <v/>
      </c>
    </row>
    <row r="423" spans="1:9" hidden="1" x14ac:dyDescent="0.25">
      <c r="A423" s="114" t="s">
        <v>2042</v>
      </c>
      <c r="B423" s="115" t="s">
        <v>2043</v>
      </c>
      <c r="C423" s="116" t="s">
        <v>20</v>
      </c>
      <c r="D423" s="116">
        <v>0</v>
      </c>
      <c r="E423" s="136" t="s">
        <v>572</v>
      </c>
      <c r="F423" s="137" t="str">
        <f t="shared" si="18"/>
        <v/>
      </c>
      <c r="G423" s="138" t="e">
        <f>IF(A423&lt;&gt;"",IF(AND(#REF!="Padrão",$H$4=#REF!),BDI!$B$17,IF(AND(#REF!="Padrão",$H$4=#REF!),BDI!#REF!,IF(AND(#REF!="Diferenciado",$H$4=#REF!),BDI!$E$17,IF(AND(#REF!="Diferenciado",$H$4=#REF!),BDI!#REF!,IF(#REF!="ZERO",0))))),"")</f>
        <v>#REF!</v>
      </c>
      <c r="H423" s="139" t="str">
        <f t="shared" si="19"/>
        <v/>
      </c>
      <c r="I423" s="137" t="str">
        <f t="shared" si="20"/>
        <v/>
      </c>
    </row>
    <row r="424" spans="1:9" hidden="1" x14ac:dyDescent="0.25">
      <c r="A424" s="114" t="s">
        <v>2044</v>
      </c>
      <c r="B424" s="115" t="s">
        <v>2045</v>
      </c>
      <c r="C424" s="116" t="s">
        <v>20</v>
      </c>
      <c r="D424" s="116">
        <v>0</v>
      </c>
      <c r="E424" s="136" t="s">
        <v>572</v>
      </c>
      <c r="F424" s="137" t="str">
        <f t="shared" si="18"/>
        <v/>
      </c>
      <c r="G424" s="138" t="e">
        <f>IF(A424&lt;&gt;"",IF(AND(#REF!="Padrão",$H$4=#REF!),BDI!$B$17,IF(AND(#REF!="Padrão",$H$4=#REF!),BDI!#REF!,IF(AND(#REF!="Diferenciado",$H$4=#REF!),BDI!$E$17,IF(AND(#REF!="Diferenciado",$H$4=#REF!),BDI!#REF!,IF(#REF!="ZERO",0))))),"")</f>
        <v>#REF!</v>
      </c>
      <c r="H424" s="139" t="str">
        <f t="shared" si="19"/>
        <v/>
      </c>
      <c r="I424" s="137" t="str">
        <f t="shared" si="20"/>
        <v/>
      </c>
    </row>
    <row r="425" spans="1:9" hidden="1" x14ac:dyDescent="0.25">
      <c r="A425" s="114" t="s">
        <v>2046</v>
      </c>
      <c r="B425" s="115" t="s">
        <v>2047</v>
      </c>
      <c r="C425" s="116" t="s">
        <v>20</v>
      </c>
      <c r="D425" s="116">
        <v>0</v>
      </c>
      <c r="E425" s="136" t="s">
        <v>572</v>
      </c>
      <c r="F425" s="137" t="str">
        <f t="shared" si="18"/>
        <v/>
      </c>
      <c r="G425" s="138" t="e">
        <f>IF(A425&lt;&gt;"",IF(AND(#REF!="Padrão",$H$4=#REF!),BDI!$B$17,IF(AND(#REF!="Padrão",$H$4=#REF!),BDI!#REF!,IF(AND(#REF!="Diferenciado",$H$4=#REF!),BDI!$E$17,IF(AND(#REF!="Diferenciado",$H$4=#REF!),BDI!#REF!,IF(#REF!="ZERO",0))))),"")</f>
        <v>#REF!</v>
      </c>
      <c r="H425" s="139" t="str">
        <f t="shared" si="19"/>
        <v/>
      </c>
      <c r="I425" s="137" t="str">
        <f t="shared" si="20"/>
        <v/>
      </c>
    </row>
    <row r="426" spans="1:9" hidden="1" x14ac:dyDescent="0.25">
      <c r="A426" s="114" t="s">
        <v>2048</v>
      </c>
      <c r="B426" s="115" t="s">
        <v>2049</v>
      </c>
      <c r="C426" s="116" t="s">
        <v>20</v>
      </c>
      <c r="D426" s="116">
        <v>0</v>
      </c>
      <c r="E426" s="136" t="s">
        <v>572</v>
      </c>
      <c r="F426" s="137" t="str">
        <f t="shared" si="18"/>
        <v/>
      </c>
      <c r="G426" s="138" t="e">
        <f>IF(A426&lt;&gt;"",IF(AND(#REF!="Padrão",$H$4=#REF!),BDI!$B$17,IF(AND(#REF!="Padrão",$H$4=#REF!),BDI!#REF!,IF(AND(#REF!="Diferenciado",$H$4=#REF!),BDI!$E$17,IF(AND(#REF!="Diferenciado",$H$4=#REF!),BDI!#REF!,IF(#REF!="ZERO",0))))),"")</f>
        <v>#REF!</v>
      </c>
      <c r="H426" s="139" t="str">
        <f t="shared" si="19"/>
        <v/>
      </c>
      <c r="I426" s="137" t="str">
        <f t="shared" si="20"/>
        <v/>
      </c>
    </row>
    <row r="427" spans="1:9" hidden="1" x14ac:dyDescent="0.25">
      <c r="A427" s="114" t="s">
        <v>2050</v>
      </c>
      <c r="B427" s="115" t="s">
        <v>2051</v>
      </c>
      <c r="C427" s="116" t="s">
        <v>20</v>
      </c>
      <c r="D427" s="116">
        <v>0</v>
      </c>
      <c r="E427" s="136" t="s">
        <v>572</v>
      </c>
      <c r="F427" s="137" t="str">
        <f t="shared" si="18"/>
        <v/>
      </c>
      <c r="G427" s="138" t="e">
        <f>IF(A427&lt;&gt;"",IF(AND(#REF!="Padrão",$H$4=#REF!),BDI!$B$17,IF(AND(#REF!="Padrão",$H$4=#REF!),BDI!#REF!,IF(AND(#REF!="Diferenciado",$H$4=#REF!),BDI!$E$17,IF(AND(#REF!="Diferenciado",$H$4=#REF!),BDI!#REF!,IF(#REF!="ZERO",0))))),"")</f>
        <v>#REF!</v>
      </c>
      <c r="H427" s="139" t="str">
        <f t="shared" si="19"/>
        <v/>
      </c>
      <c r="I427" s="137" t="str">
        <f t="shared" si="20"/>
        <v/>
      </c>
    </row>
    <row r="428" spans="1:9" hidden="1" x14ac:dyDescent="0.25">
      <c r="A428" s="114" t="s">
        <v>2052</v>
      </c>
      <c r="B428" s="115" t="s">
        <v>2053</v>
      </c>
      <c r="C428" s="116" t="s">
        <v>20</v>
      </c>
      <c r="D428" s="116">
        <v>0</v>
      </c>
      <c r="E428" s="136" t="s">
        <v>572</v>
      </c>
      <c r="F428" s="137" t="str">
        <f t="shared" si="18"/>
        <v/>
      </c>
      <c r="G428" s="138" t="e">
        <f>IF(A428&lt;&gt;"",IF(AND(#REF!="Padrão",$H$4=#REF!),BDI!$B$17,IF(AND(#REF!="Padrão",$H$4=#REF!),BDI!#REF!,IF(AND(#REF!="Diferenciado",$H$4=#REF!),BDI!$E$17,IF(AND(#REF!="Diferenciado",$H$4=#REF!),BDI!#REF!,IF(#REF!="ZERO",0))))),"")</f>
        <v>#REF!</v>
      </c>
      <c r="H428" s="139" t="str">
        <f t="shared" si="19"/>
        <v/>
      </c>
      <c r="I428" s="137" t="str">
        <f t="shared" si="20"/>
        <v/>
      </c>
    </row>
    <row r="429" spans="1:9" hidden="1" x14ac:dyDescent="0.25">
      <c r="A429" s="114" t="s">
        <v>2054</v>
      </c>
      <c r="B429" s="115" t="s">
        <v>2055</v>
      </c>
      <c r="C429" s="116" t="s">
        <v>20</v>
      </c>
      <c r="D429" s="116">
        <v>0</v>
      </c>
      <c r="E429" s="136" t="s">
        <v>572</v>
      </c>
      <c r="F429" s="137" t="str">
        <f t="shared" si="18"/>
        <v/>
      </c>
      <c r="G429" s="138" t="e">
        <f>IF(A429&lt;&gt;"",IF(AND(#REF!="Padrão",$H$4=#REF!),BDI!$B$17,IF(AND(#REF!="Padrão",$H$4=#REF!),BDI!#REF!,IF(AND(#REF!="Diferenciado",$H$4=#REF!),BDI!$E$17,IF(AND(#REF!="Diferenciado",$H$4=#REF!),BDI!#REF!,IF(#REF!="ZERO",0))))),"")</f>
        <v>#REF!</v>
      </c>
      <c r="H429" s="139" t="str">
        <f t="shared" si="19"/>
        <v/>
      </c>
      <c r="I429" s="137" t="str">
        <f t="shared" si="20"/>
        <v/>
      </c>
    </row>
    <row r="430" spans="1:9" hidden="1" x14ac:dyDescent="0.25">
      <c r="A430" s="114" t="s">
        <v>2056</v>
      </c>
      <c r="B430" s="115" t="s">
        <v>2057</v>
      </c>
      <c r="C430" s="116" t="s">
        <v>20</v>
      </c>
      <c r="D430" s="116">
        <v>0</v>
      </c>
      <c r="E430" s="136" t="s">
        <v>572</v>
      </c>
      <c r="F430" s="137" t="str">
        <f t="shared" si="18"/>
        <v/>
      </c>
      <c r="G430" s="138" t="e">
        <f>IF(A430&lt;&gt;"",IF(AND(#REF!="Padrão",$H$4=#REF!),BDI!$B$17,IF(AND(#REF!="Padrão",$H$4=#REF!),BDI!#REF!,IF(AND(#REF!="Diferenciado",$H$4=#REF!),BDI!$E$17,IF(AND(#REF!="Diferenciado",$H$4=#REF!),BDI!#REF!,IF(#REF!="ZERO",0))))),"")</f>
        <v>#REF!</v>
      </c>
      <c r="H430" s="139" t="str">
        <f t="shared" si="19"/>
        <v/>
      </c>
      <c r="I430" s="137" t="str">
        <f t="shared" si="20"/>
        <v/>
      </c>
    </row>
    <row r="431" spans="1:9" hidden="1" x14ac:dyDescent="0.25">
      <c r="A431" s="114" t="s">
        <v>2058</v>
      </c>
      <c r="B431" s="115" t="s">
        <v>2059</v>
      </c>
      <c r="C431" s="116" t="s">
        <v>20</v>
      </c>
      <c r="D431" s="116">
        <v>0</v>
      </c>
      <c r="E431" s="136" t="s">
        <v>572</v>
      </c>
      <c r="F431" s="137" t="str">
        <f t="shared" si="18"/>
        <v/>
      </c>
      <c r="G431" s="138" t="e">
        <f>IF(A431&lt;&gt;"",IF(AND(#REF!="Padrão",$H$4=#REF!),BDI!$B$17,IF(AND(#REF!="Padrão",$H$4=#REF!),BDI!#REF!,IF(AND(#REF!="Diferenciado",$H$4=#REF!),BDI!$E$17,IF(AND(#REF!="Diferenciado",$H$4=#REF!),BDI!#REF!,IF(#REF!="ZERO",0))))),"")</f>
        <v>#REF!</v>
      </c>
      <c r="H431" s="139" t="str">
        <f t="shared" si="19"/>
        <v/>
      </c>
      <c r="I431" s="137" t="str">
        <f t="shared" si="20"/>
        <v/>
      </c>
    </row>
    <row r="432" spans="1:9" hidden="1" x14ac:dyDescent="0.25">
      <c r="A432" s="114" t="s">
        <v>2060</v>
      </c>
      <c r="B432" s="115" t="s">
        <v>2061</v>
      </c>
      <c r="C432" s="116" t="s">
        <v>20</v>
      </c>
      <c r="D432" s="116">
        <v>0</v>
      </c>
      <c r="E432" s="136" t="s">
        <v>572</v>
      </c>
      <c r="F432" s="137" t="str">
        <f t="shared" si="18"/>
        <v/>
      </c>
      <c r="G432" s="138" t="e">
        <f>IF(A432&lt;&gt;"",IF(AND(#REF!="Padrão",$H$4=#REF!),BDI!$B$17,IF(AND(#REF!="Padrão",$H$4=#REF!),BDI!#REF!,IF(AND(#REF!="Diferenciado",$H$4=#REF!),BDI!$E$17,IF(AND(#REF!="Diferenciado",$H$4=#REF!),BDI!#REF!,IF(#REF!="ZERO",0))))),"")</f>
        <v>#REF!</v>
      </c>
      <c r="H432" s="139" t="str">
        <f t="shared" si="19"/>
        <v/>
      </c>
      <c r="I432" s="137" t="str">
        <f t="shared" si="20"/>
        <v/>
      </c>
    </row>
    <row r="433" spans="1:9" hidden="1" x14ac:dyDescent="0.25">
      <c r="A433" s="114" t="s">
        <v>2062</v>
      </c>
      <c r="B433" s="115" t="s">
        <v>2063</v>
      </c>
      <c r="C433" s="116" t="s">
        <v>20</v>
      </c>
      <c r="D433" s="116">
        <v>0</v>
      </c>
      <c r="E433" s="136" t="s">
        <v>572</v>
      </c>
      <c r="F433" s="137" t="str">
        <f t="shared" si="18"/>
        <v/>
      </c>
      <c r="G433" s="138" t="e">
        <f>IF(A433&lt;&gt;"",IF(AND(#REF!="Padrão",$H$4=#REF!),BDI!$B$17,IF(AND(#REF!="Padrão",$H$4=#REF!),BDI!#REF!,IF(AND(#REF!="Diferenciado",$H$4=#REF!),BDI!$E$17,IF(AND(#REF!="Diferenciado",$H$4=#REF!),BDI!#REF!,IF(#REF!="ZERO",0))))),"")</f>
        <v>#REF!</v>
      </c>
      <c r="H433" s="139" t="str">
        <f t="shared" si="19"/>
        <v/>
      </c>
      <c r="I433" s="137" t="str">
        <f t="shared" si="20"/>
        <v/>
      </c>
    </row>
    <row r="434" spans="1:9" hidden="1" x14ac:dyDescent="0.25">
      <c r="A434" s="114" t="s">
        <v>2064</v>
      </c>
      <c r="B434" s="115" t="s">
        <v>2065</v>
      </c>
      <c r="C434" s="116" t="s">
        <v>2066</v>
      </c>
      <c r="D434" s="116">
        <v>0</v>
      </c>
      <c r="E434" s="136" t="s">
        <v>572</v>
      </c>
      <c r="F434" s="137" t="str">
        <f t="shared" si="18"/>
        <v/>
      </c>
      <c r="G434" s="138" t="e">
        <f>IF(A434&lt;&gt;"",IF(AND(#REF!="Padrão",$H$4=#REF!),BDI!$B$17,IF(AND(#REF!="Padrão",$H$4=#REF!),BDI!#REF!,IF(AND(#REF!="Diferenciado",$H$4=#REF!),BDI!$E$17,IF(AND(#REF!="Diferenciado",$H$4=#REF!),BDI!#REF!,IF(#REF!="ZERO",0))))),"")</f>
        <v>#REF!</v>
      </c>
      <c r="H434" s="139" t="str">
        <f t="shared" si="19"/>
        <v/>
      </c>
      <c r="I434" s="137" t="str">
        <f t="shared" si="20"/>
        <v/>
      </c>
    </row>
    <row r="435" spans="1:9" hidden="1" x14ac:dyDescent="0.25">
      <c r="A435" s="114" t="s">
        <v>2067</v>
      </c>
      <c r="B435" s="115" t="s">
        <v>2068</v>
      </c>
      <c r="C435" s="116" t="s">
        <v>2066</v>
      </c>
      <c r="D435" s="116">
        <v>0</v>
      </c>
      <c r="E435" s="136" t="s">
        <v>572</v>
      </c>
      <c r="F435" s="137" t="str">
        <f t="shared" si="18"/>
        <v/>
      </c>
      <c r="G435" s="138" t="e">
        <f>IF(A435&lt;&gt;"",IF(AND(#REF!="Padrão",$H$4=#REF!),BDI!$B$17,IF(AND(#REF!="Padrão",$H$4=#REF!),BDI!#REF!,IF(AND(#REF!="Diferenciado",$H$4=#REF!),BDI!$E$17,IF(AND(#REF!="Diferenciado",$H$4=#REF!),BDI!#REF!,IF(#REF!="ZERO",0))))),"")</f>
        <v>#REF!</v>
      </c>
      <c r="H435" s="139" t="str">
        <f t="shared" si="19"/>
        <v/>
      </c>
      <c r="I435" s="137" t="str">
        <f t="shared" si="20"/>
        <v/>
      </c>
    </row>
    <row r="436" spans="1:9" hidden="1" x14ac:dyDescent="0.25">
      <c r="A436" s="114" t="s">
        <v>2069</v>
      </c>
      <c r="B436" s="115" t="s">
        <v>2070</v>
      </c>
      <c r="C436" s="116" t="s">
        <v>2066</v>
      </c>
      <c r="D436" s="116">
        <v>0</v>
      </c>
      <c r="E436" s="136" t="s">
        <v>572</v>
      </c>
      <c r="F436" s="137" t="str">
        <f t="shared" si="18"/>
        <v/>
      </c>
      <c r="G436" s="138" t="e">
        <f>IF(A436&lt;&gt;"",IF(AND(#REF!="Padrão",$H$4=#REF!),BDI!$B$17,IF(AND(#REF!="Padrão",$H$4=#REF!),BDI!#REF!,IF(AND(#REF!="Diferenciado",$H$4=#REF!),BDI!$E$17,IF(AND(#REF!="Diferenciado",$H$4=#REF!),BDI!#REF!,IF(#REF!="ZERO",0))))),"")</f>
        <v>#REF!</v>
      </c>
      <c r="H436" s="139" t="str">
        <f t="shared" si="19"/>
        <v/>
      </c>
      <c r="I436" s="137" t="str">
        <f t="shared" si="20"/>
        <v/>
      </c>
    </row>
    <row r="437" spans="1:9" hidden="1" x14ac:dyDescent="0.25">
      <c r="A437" s="114" t="s">
        <v>2071</v>
      </c>
      <c r="B437" s="115" t="s">
        <v>2072</v>
      </c>
      <c r="C437" s="116" t="s">
        <v>2066</v>
      </c>
      <c r="D437" s="116">
        <v>0</v>
      </c>
      <c r="E437" s="136" t="s">
        <v>572</v>
      </c>
      <c r="F437" s="137" t="str">
        <f t="shared" si="18"/>
        <v/>
      </c>
      <c r="G437" s="138" t="e">
        <f>IF(A437&lt;&gt;"",IF(AND(#REF!="Padrão",$H$4=#REF!),BDI!$B$17,IF(AND(#REF!="Padrão",$H$4=#REF!),BDI!#REF!,IF(AND(#REF!="Diferenciado",$H$4=#REF!),BDI!$E$17,IF(AND(#REF!="Diferenciado",$H$4=#REF!),BDI!#REF!,IF(#REF!="ZERO",0))))),"")</f>
        <v>#REF!</v>
      </c>
      <c r="H437" s="139" t="str">
        <f t="shared" si="19"/>
        <v/>
      </c>
      <c r="I437" s="137" t="str">
        <f t="shared" si="20"/>
        <v/>
      </c>
    </row>
    <row r="438" spans="1:9" hidden="1" x14ac:dyDescent="0.25">
      <c r="A438" s="114" t="s">
        <v>2073</v>
      </c>
      <c r="B438" s="115" t="s">
        <v>2074</v>
      </c>
      <c r="C438" s="116" t="s">
        <v>2066</v>
      </c>
      <c r="D438" s="116">
        <v>0</v>
      </c>
      <c r="E438" s="136" t="s">
        <v>572</v>
      </c>
      <c r="F438" s="137" t="str">
        <f t="shared" si="18"/>
        <v/>
      </c>
      <c r="G438" s="138" t="e">
        <f>IF(A438&lt;&gt;"",IF(AND(#REF!="Padrão",$H$4=#REF!),BDI!$B$17,IF(AND(#REF!="Padrão",$H$4=#REF!),BDI!#REF!,IF(AND(#REF!="Diferenciado",$H$4=#REF!),BDI!$E$17,IF(AND(#REF!="Diferenciado",$H$4=#REF!),BDI!#REF!,IF(#REF!="ZERO",0))))),"")</f>
        <v>#REF!</v>
      </c>
      <c r="H438" s="139" t="str">
        <f t="shared" si="19"/>
        <v/>
      </c>
      <c r="I438" s="137" t="str">
        <f t="shared" si="20"/>
        <v/>
      </c>
    </row>
    <row r="439" spans="1:9" hidden="1" x14ac:dyDescent="0.25">
      <c r="A439" s="114" t="s">
        <v>2075</v>
      </c>
      <c r="B439" s="115" t="s">
        <v>2076</v>
      </c>
      <c r="C439" s="116" t="s">
        <v>2066</v>
      </c>
      <c r="D439" s="116">
        <v>0</v>
      </c>
      <c r="E439" s="136" t="s">
        <v>572</v>
      </c>
      <c r="F439" s="137" t="str">
        <f t="shared" si="18"/>
        <v/>
      </c>
      <c r="G439" s="138" t="e">
        <f>IF(A439&lt;&gt;"",IF(AND(#REF!="Padrão",$H$4=#REF!),BDI!$B$17,IF(AND(#REF!="Padrão",$H$4=#REF!),BDI!#REF!,IF(AND(#REF!="Diferenciado",$H$4=#REF!),BDI!$E$17,IF(AND(#REF!="Diferenciado",$H$4=#REF!),BDI!#REF!,IF(#REF!="ZERO",0))))),"")</f>
        <v>#REF!</v>
      </c>
      <c r="H439" s="139" t="str">
        <f t="shared" si="19"/>
        <v/>
      </c>
      <c r="I439" s="137" t="str">
        <f t="shared" si="20"/>
        <v/>
      </c>
    </row>
    <row r="440" spans="1:9" hidden="1" x14ac:dyDescent="0.25">
      <c r="A440" s="114" t="s">
        <v>2077</v>
      </c>
      <c r="B440" s="115" t="s">
        <v>2078</v>
      </c>
      <c r="C440" s="116" t="s">
        <v>20</v>
      </c>
      <c r="D440" s="116">
        <v>0</v>
      </c>
      <c r="E440" s="136" t="s">
        <v>572</v>
      </c>
      <c r="F440" s="137" t="str">
        <f t="shared" si="18"/>
        <v/>
      </c>
      <c r="G440" s="138" t="e">
        <f>IF(A440&lt;&gt;"",IF(AND(#REF!="Padrão",$H$4=#REF!),BDI!$B$17,IF(AND(#REF!="Padrão",$H$4=#REF!),BDI!#REF!,IF(AND(#REF!="Diferenciado",$H$4=#REF!),BDI!$E$17,IF(AND(#REF!="Diferenciado",$H$4=#REF!),BDI!#REF!,IF(#REF!="ZERO",0))))),"")</f>
        <v>#REF!</v>
      </c>
      <c r="H440" s="139" t="str">
        <f t="shared" si="19"/>
        <v/>
      </c>
      <c r="I440" s="137" t="str">
        <f t="shared" si="20"/>
        <v/>
      </c>
    </row>
    <row r="441" spans="1:9" hidden="1" x14ac:dyDescent="0.25">
      <c r="A441" s="114" t="s">
        <v>2079</v>
      </c>
      <c r="B441" s="115" t="s">
        <v>2080</v>
      </c>
      <c r="C441" s="116" t="s">
        <v>20</v>
      </c>
      <c r="D441" s="116">
        <v>0</v>
      </c>
      <c r="E441" s="136" t="s">
        <v>572</v>
      </c>
      <c r="F441" s="137" t="str">
        <f t="shared" si="18"/>
        <v/>
      </c>
      <c r="G441" s="138" t="e">
        <f>IF(A441&lt;&gt;"",IF(AND(#REF!="Padrão",$H$4=#REF!),BDI!$B$17,IF(AND(#REF!="Padrão",$H$4=#REF!),BDI!#REF!,IF(AND(#REF!="Diferenciado",$H$4=#REF!),BDI!$E$17,IF(AND(#REF!="Diferenciado",$H$4=#REF!),BDI!#REF!,IF(#REF!="ZERO",0))))),"")</f>
        <v>#REF!</v>
      </c>
      <c r="H441" s="139" t="str">
        <f t="shared" si="19"/>
        <v/>
      </c>
      <c r="I441" s="137" t="str">
        <f t="shared" si="20"/>
        <v/>
      </c>
    </row>
    <row r="442" spans="1:9" hidden="1" x14ac:dyDescent="0.25">
      <c r="A442" s="114" t="s">
        <v>2081</v>
      </c>
      <c r="B442" s="115" t="s">
        <v>2082</v>
      </c>
      <c r="C442" s="116" t="s">
        <v>20</v>
      </c>
      <c r="D442" s="116">
        <v>0</v>
      </c>
      <c r="E442" s="136" t="s">
        <v>572</v>
      </c>
      <c r="F442" s="137" t="str">
        <f t="shared" si="18"/>
        <v/>
      </c>
      <c r="G442" s="138" t="e">
        <f>IF(A442&lt;&gt;"",IF(AND(#REF!="Padrão",$H$4=#REF!),BDI!$B$17,IF(AND(#REF!="Padrão",$H$4=#REF!),BDI!#REF!,IF(AND(#REF!="Diferenciado",$H$4=#REF!),BDI!$E$17,IF(AND(#REF!="Diferenciado",$H$4=#REF!),BDI!#REF!,IF(#REF!="ZERO",0))))),"")</f>
        <v>#REF!</v>
      </c>
      <c r="H442" s="139" t="str">
        <f t="shared" si="19"/>
        <v/>
      </c>
      <c r="I442" s="137" t="str">
        <f t="shared" si="20"/>
        <v/>
      </c>
    </row>
    <row r="443" spans="1:9" hidden="1" x14ac:dyDescent="0.25">
      <c r="A443" s="114" t="s">
        <v>2083</v>
      </c>
      <c r="B443" s="115" t="s">
        <v>2084</v>
      </c>
      <c r="C443" s="116" t="s">
        <v>20</v>
      </c>
      <c r="D443" s="116">
        <v>0</v>
      </c>
      <c r="E443" s="136" t="s">
        <v>572</v>
      </c>
      <c r="F443" s="137" t="str">
        <f t="shared" si="18"/>
        <v/>
      </c>
      <c r="G443" s="138" t="e">
        <f>IF(A443&lt;&gt;"",IF(AND(#REF!="Padrão",$H$4=#REF!),BDI!$B$17,IF(AND(#REF!="Padrão",$H$4=#REF!),BDI!#REF!,IF(AND(#REF!="Diferenciado",$H$4=#REF!),BDI!$E$17,IF(AND(#REF!="Diferenciado",$H$4=#REF!),BDI!#REF!,IF(#REF!="ZERO",0))))),"")</f>
        <v>#REF!</v>
      </c>
      <c r="H443" s="139" t="str">
        <f t="shared" si="19"/>
        <v/>
      </c>
      <c r="I443" s="137" t="str">
        <f t="shared" si="20"/>
        <v/>
      </c>
    </row>
    <row r="444" spans="1:9" hidden="1" x14ac:dyDescent="0.25">
      <c r="A444" s="114" t="s">
        <v>2085</v>
      </c>
      <c r="B444" s="115" t="s">
        <v>2086</v>
      </c>
      <c r="C444" s="116" t="s">
        <v>20</v>
      </c>
      <c r="D444" s="116">
        <v>0</v>
      </c>
      <c r="E444" s="136" t="s">
        <v>572</v>
      </c>
      <c r="F444" s="137" t="str">
        <f t="shared" si="18"/>
        <v/>
      </c>
      <c r="G444" s="138" t="e">
        <f>IF(A444&lt;&gt;"",IF(AND(#REF!="Padrão",$H$4=#REF!),BDI!$B$17,IF(AND(#REF!="Padrão",$H$4=#REF!),BDI!#REF!,IF(AND(#REF!="Diferenciado",$H$4=#REF!),BDI!$E$17,IF(AND(#REF!="Diferenciado",$H$4=#REF!),BDI!#REF!,IF(#REF!="ZERO",0))))),"")</f>
        <v>#REF!</v>
      </c>
      <c r="H444" s="139" t="str">
        <f t="shared" si="19"/>
        <v/>
      </c>
      <c r="I444" s="137" t="str">
        <f t="shared" si="20"/>
        <v/>
      </c>
    </row>
    <row r="445" spans="1:9" hidden="1" x14ac:dyDescent="0.25">
      <c r="A445" s="114" t="s">
        <v>2087</v>
      </c>
      <c r="B445" s="115" t="s">
        <v>2088</v>
      </c>
      <c r="C445" s="116" t="s">
        <v>20</v>
      </c>
      <c r="D445" s="116">
        <v>0</v>
      </c>
      <c r="E445" s="136" t="s">
        <v>572</v>
      </c>
      <c r="F445" s="137" t="str">
        <f t="shared" si="18"/>
        <v/>
      </c>
      <c r="G445" s="138" t="e">
        <f>IF(A445&lt;&gt;"",IF(AND(#REF!="Padrão",$H$4=#REF!),BDI!$B$17,IF(AND(#REF!="Padrão",$H$4=#REF!),BDI!#REF!,IF(AND(#REF!="Diferenciado",$H$4=#REF!),BDI!$E$17,IF(AND(#REF!="Diferenciado",$H$4=#REF!),BDI!#REF!,IF(#REF!="ZERO",0))))),"")</f>
        <v>#REF!</v>
      </c>
      <c r="H445" s="139" t="str">
        <f t="shared" si="19"/>
        <v/>
      </c>
      <c r="I445" s="137" t="str">
        <f t="shared" si="20"/>
        <v/>
      </c>
    </row>
    <row r="446" spans="1:9" hidden="1" x14ac:dyDescent="0.25">
      <c r="A446" s="114" t="s">
        <v>2089</v>
      </c>
      <c r="B446" s="115" t="s">
        <v>2090</v>
      </c>
      <c r="C446" s="116" t="s">
        <v>20</v>
      </c>
      <c r="D446" s="116">
        <v>0</v>
      </c>
      <c r="E446" s="136" t="s">
        <v>572</v>
      </c>
      <c r="F446" s="137" t="str">
        <f t="shared" si="18"/>
        <v/>
      </c>
      <c r="G446" s="138" t="e">
        <f>IF(A446&lt;&gt;"",IF(AND(#REF!="Padrão",$H$4=#REF!),BDI!$B$17,IF(AND(#REF!="Padrão",$H$4=#REF!),BDI!#REF!,IF(AND(#REF!="Diferenciado",$H$4=#REF!),BDI!$E$17,IF(AND(#REF!="Diferenciado",$H$4=#REF!),BDI!#REF!,IF(#REF!="ZERO",0))))),"")</f>
        <v>#REF!</v>
      </c>
      <c r="H446" s="139" t="str">
        <f t="shared" si="19"/>
        <v/>
      </c>
      <c r="I446" s="137" t="str">
        <f t="shared" si="20"/>
        <v/>
      </c>
    </row>
    <row r="447" spans="1:9" hidden="1" x14ac:dyDescent="0.25">
      <c r="A447" s="114" t="s">
        <v>2091</v>
      </c>
      <c r="B447" s="115" t="s">
        <v>2092</v>
      </c>
      <c r="C447" s="116" t="s">
        <v>20</v>
      </c>
      <c r="D447" s="116">
        <v>0</v>
      </c>
      <c r="E447" s="136" t="s">
        <v>572</v>
      </c>
      <c r="F447" s="137" t="str">
        <f t="shared" si="18"/>
        <v/>
      </c>
      <c r="G447" s="138" t="e">
        <f>IF(A447&lt;&gt;"",IF(AND(#REF!="Padrão",$H$4=#REF!),BDI!$B$17,IF(AND(#REF!="Padrão",$H$4=#REF!),BDI!#REF!,IF(AND(#REF!="Diferenciado",$H$4=#REF!),BDI!$E$17,IF(AND(#REF!="Diferenciado",$H$4=#REF!),BDI!#REF!,IF(#REF!="ZERO",0))))),"")</f>
        <v>#REF!</v>
      </c>
      <c r="H447" s="139" t="str">
        <f t="shared" si="19"/>
        <v/>
      </c>
      <c r="I447" s="137" t="str">
        <f t="shared" si="20"/>
        <v/>
      </c>
    </row>
    <row r="448" spans="1:9" hidden="1" x14ac:dyDescent="0.25">
      <c r="A448" s="114" t="s">
        <v>2093</v>
      </c>
      <c r="B448" s="115" t="s">
        <v>2094</v>
      </c>
      <c r="C448" s="116" t="s">
        <v>20</v>
      </c>
      <c r="D448" s="116">
        <v>0</v>
      </c>
      <c r="E448" s="136">
        <f ca="1">OFFSET(INDEX(Composições!A:J,MATCH(Orçamentária!A448,Composições!A:A,0),8),2,0)</f>
        <v>17.195</v>
      </c>
      <c r="F448" s="137">
        <f t="shared" ca="1" si="18"/>
        <v>0</v>
      </c>
      <c r="G448" s="138" t="e">
        <f>IF(A448&lt;&gt;"",IF(AND(#REF!="Padrão",$H$4=#REF!),BDI!$B$17,IF(AND(#REF!="Padrão",$H$4=#REF!),BDI!#REF!,IF(AND(#REF!="Diferenciado",$H$4=#REF!),BDI!$E$17,IF(AND(#REF!="Diferenciado",$H$4=#REF!),BDI!#REF!,IF(#REF!="ZERO",0))))),"")</f>
        <v>#REF!</v>
      </c>
      <c r="H448" s="139" t="e">
        <f t="shared" ca="1" si="19"/>
        <v>#REF!</v>
      </c>
      <c r="I448" s="137" t="e">
        <f t="shared" ca="1" si="20"/>
        <v>#REF!</v>
      </c>
    </row>
    <row r="449" spans="1:9" hidden="1" x14ac:dyDescent="0.25">
      <c r="A449" s="114" t="s">
        <v>2095</v>
      </c>
      <c r="B449" s="115" t="s">
        <v>2096</v>
      </c>
      <c r="C449" s="116" t="s">
        <v>20</v>
      </c>
      <c r="D449" s="116">
        <v>0</v>
      </c>
      <c r="E449" s="136" t="s">
        <v>572</v>
      </c>
      <c r="F449" s="137" t="str">
        <f t="shared" si="18"/>
        <v/>
      </c>
      <c r="G449" s="138" t="e">
        <f>IF(A449&lt;&gt;"",IF(AND(#REF!="Padrão",$H$4=#REF!),BDI!$B$17,IF(AND(#REF!="Padrão",$H$4=#REF!),BDI!#REF!,IF(AND(#REF!="Diferenciado",$H$4=#REF!),BDI!$E$17,IF(AND(#REF!="Diferenciado",$H$4=#REF!),BDI!#REF!,IF(#REF!="ZERO",0))))),"")</f>
        <v>#REF!</v>
      </c>
      <c r="H449" s="139" t="str">
        <f t="shared" si="19"/>
        <v/>
      </c>
      <c r="I449" s="137" t="str">
        <f t="shared" si="20"/>
        <v/>
      </c>
    </row>
    <row r="450" spans="1:9" hidden="1" x14ac:dyDescent="0.25">
      <c r="A450" s="114" t="s">
        <v>2097</v>
      </c>
      <c r="B450" s="115" t="s">
        <v>2098</v>
      </c>
      <c r="C450" s="116" t="s">
        <v>20</v>
      </c>
      <c r="D450" s="116">
        <v>0</v>
      </c>
      <c r="E450" s="136" t="s">
        <v>572</v>
      </c>
      <c r="F450" s="137" t="str">
        <f t="shared" si="18"/>
        <v/>
      </c>
      <c r="G450" s="138" t="e">
        <f>IF(A450&lt;&gt;"",IF(AND(#REF!="Padrão",$H$4=#REF!),BDI!$B$17,IF(AND(#REF!="Padrão",$H$4=#REF!),BDI!#REF!,IF(AND(#REF!="Diferenciado",$H$4=#REF!),BDI!$E$17,IF(AND(#REF!="Diferenciado",$H$4=#REF!),BDI!#REF!,IF(#REF!="ZERO",0))))),"")</f>
        <v>#REF!</v>
      </c>
      <c r="H450" s="139" t="str">
        <f t="shared" si="19"/>
        <v/>
      </c>
      <c r="I450" s="137" t="str">
        <f t="shared" si="20"/>
        <v/>
      </c>
    </row>
    <row r="451" spans="1:9" hidden="1" x14ac:dyDescent="0.25">
      <c r="A451" s="114" t="s">
        <v>2099</v>
      </c>
      <c r="B451" s="115" t="s">
        <v>2100</v>
      </c>
      <c r="C451" s="116" t="s">
        <v>20</v>
      </c>
      <c r="D451" s="116">
        <v>0</v>
      </c>
      <c r="E451" s="136" t="s">
        <v>572</v>
      </c>
      <c r="F451" s="137" t="str">
        <f t="shared" si="18"/>
        <v/>
      </c>
      <c r="G451" s="138" t="e">
        <f>IF(A451&lt;&gt;"",IF(AND(#REF!="Padrão",$H$4=#REF!),BDI!$B$17,IF(AND(#REF!="Padrão",$H$4=#REF!),BDI!#REF!,IF(AND(#REF!="Diferenciado",$H$4=#REF!),BDI!$E$17,IF(AND(#REF!="Diferenciado",$H$4=#REF!),BDI!#REF!,IF(#REF!="ZERO",0))))),"")</f>
        <v>#REF!</v>
      </c>
      <c r="H451" s="139" t="str">
        <f t="shared" si="19"/>
        <v/>
      </c>
      <c r="I451" s="137" t="str">
        <f t="shared" si="20"/>
        <v/>
      </c>
    </row>
    <row r="452" spans="1:9" hidden="1" x14ac:dyDescent="0.25">
      <c r="A452" s="114" t="s">
        <v>2101</v>
      </c>
      <c r="B452" s="115" t="s">
        <v>2102</v>
      </c>
      <c r="C452" s="116" t="s">
        <v>20</v>
      </c>
      <c r="D452" s="116">
        <v>0</v>
      </c>
      <c r="E452" s="136" t="s">
        <v>572</v>
      </c>
      <c r="F452" s="137" t="str">
        <f t="shared" si="18"/>
        <v/>
      </c>
      <c r="G452" s="138" t="e">
        <f>IF(A452&lt;&gt;"",IF(AND(#REF!="Padrão",$H$4=#REF!),BDI!$B$17,IF(AND(#REF!="Padrão",$H$4=#REF!),BDI!#REF!,IF(AND(#REF!="Diferenciado",$H$4=#REF!),BDI!$E$17,IF(AND(#REF!="Diferenciado",$H$4=#REF!),BDI!#REF!,IF(#REF!="ZERO",0))))),"")</f>
        <v>#REF!</v>
      </c>
      <c r="H452" s="139" t="str">
        <f t="shared" si="19"/>
        <v/>
      </c>
      <c r="I452" s="137" t="str">
        <f t="shared" si="20"/>
        <v/>
      </c>
    </row>
    <row r="453" spans="1:9" hidden="1" x14ac:dyDescent="0.25">
      <c r="A453" s="114" t="s">
        <v>2103</v>
      </c>
      <c r="B453" s="115" t="s">
        <v>2104</v>
      </c>
      <c r="C453" s="116" t="s">
        <v>20</v>
      </c>
      <c r="D453" s="116">
        <v>0</v>
      </c>
      <c r="E453" s="136" t="s">
        <v>572</v>
      </c>
      <c r="F453" s="137" t="str">
        <f t="shared" si="18"/>
        <v/>
      </c>
      <c r="G453" s="138" t="e">
        <f>IF(A453&lt;&gt;"",IF(AND(#REF!="Padrão",$H$4=#REF!),BDI!$B$17,IF(AND(#REF!="Padrão",$H$4=#REF!),BDI!#REF!,IF(AND(#REF!="Diferenciado",$H$4=#REF!),BDI!$E$17,IF(AND(#REF!="Diferenciado",$H$4=#REF!),BDI!#REF!,IF(#REF!="ZERO",0))))),"")</f>
        <v>#REF!</v>
      </c>
      <c r="H453" s="139" t="str">
        <f t="shared" si="19"/>
        <v/>
      </c>
      <c r="I453" s="137" t="str">
        <f t="shared" si="20"/>
        <v/>
      </c>
    </row>
    <row r="454" spans="1:9" hidden="1" x14ac:dyDescent="0.25">
      <c r="A454" s="114" t="s">
        <v>2105</v>
      </c>
      <c r="B454" s="115" t="s">
        <v>2106</v>
      </c>
      <c r="C454" s="116" t="s">
        <v>20</v>
      </c>
      <c r="D454" s="116">
        <v>0</v>
      </c>
      <c r="E454" s="136" t="s">
        <v>572</v>
      </c>
      <c r="F454" s="137" t="str">
        <f t="shared" si="18"/>
        <v/>
      </c>
      <c r="G454" s="138" t="e">
        <f>IF(A454&lt;&gt;"",IF(AND(#REF!="Padrão",$H$4=#REF!),BDI!$B$17,IF(AND(#REF!="Padrão",$H$4=#REF!),BDI!#REF!,IF(AND(#REF!="Diferenciado",$H$4=#REF!),BDI!$E$17,IF(AND(#REF!="Diferenciado",$H$4=#REF!),BDI!#REF!,IF(#REF!="ZERO",0))))),"")</f>
        <v>#REF!</v>
      </c>
      <c r="H454" s="139" t="str">
        <f t="shared" si="19"/>
        <v/>
      </c>
      <c r="I454" s="137" t="str">
        <f t="shared" si="20"/>
        <v/>
      </c>
    </row>
    <row r="455" spans="1:9" hidden="1" x14ac:dyDescent="0.25">
      <c r="A455" s="114" t="s">
        <v>2107</v>
      </c>
      <c r="B455" s="115" t="s">
        <v>2108</v>
      </c>
      <c r="C455" s="116" t="s">
        <v>20</v>
      </c>
      <c r="D455" s="116">
        <v>0</v>
      </c>
      <c r="E455" s="136" t="s">
        <v>572</v>
      </c>
      <c r="F455" s="137" t="str">
        <f t="shared" ref="F455:F518" si="21">IF(ISNUMBER(E455),D455*E455,"")</f>
        <v/>
      </c>
      <c r="G455" s="138" t="e">
        <f>IF(A455&lt;&gt;"",IF(AND(#REF!="Padrão",$H$4=#REF!),BDI!$B$17,IF(AND(#REF!="Padrão",$H$4=#REF!),BDI!#REF!,IF(AND(#REF!="Diferenciado",$H$4=#REF!),BDI!$E$17,IF(AND(#REF!="Diferenciado",$H$4=#REF!),BDI!#REF!,IF(#REF!="ZERO",0))))),"")</f>
        <v>#REF!</v>
      </c>
      <c r="H455" s="139" t="str">
        <f t="shared" ref="H455:H518" si="22">IF(ISNUMBER(E455),ROUND(E455*(1+G455),2),"")</f>
        <v/>
      </c>
      <c r="I455" s="137" t="str">
        <f t="shared" ref="I455:I518" si="23">IF(ISNUMBER(E455),ROUND(H455*D455,2),"")</f>
        <v/>
      </c>
    </row>
    <row r="456" spans="1:9" hidden="1" x14ac:dyDescent="0.25">
      <c r="A456" s="114" t="s">
        <v>2109</v>
      </c>
      <c r="B456" s="115" t="s">
        <v>2110</v>
      </c>
      <c r="C456" s="116" t="s">
        <v>20</v>
      </c>
      <c r="D456" s="116">
        <v>0</v>
      </c>
      <c r="E456" s="136" t="s">
        <v>572</v>
      </c>
      <c r="F456" s="137" t="str">
        <f t="shared" si="21"/>
        <v/>
      </c>
      <c r="G456" s="138" t="e">
        <f>IF(A456&lt;&gt;"",IF(AND(#REF!="Padrão",$H$4=#REF!),BDI!$B$17,IF(AND(#REF!="Padrão",$H$4=#REF!),BDI!#REF!,IF(AND(#REF!="Diferenciado",$H$4=#REF!),BDI!$E$17,IF(AND(#REF!="Diferenciado",$H$4=#REF!),BDI!#REF!,IF(#REF!="ZERO",0))))),"")</f>
        <v>#REF!</v>
      </c>
      <c r="H456" s="139" t="str">
        <f t="shared" si="22"/>
        <v/>
      </c>
      <c r="I456" s="137" t="str">
        <f t="shared" si="23"/>
        <v/>
      </c>
    </row>
    <row r="457" spans="1:9" hidden="1" x14ac:dyDescent="0.25">
      <c r="A457" s="114" t="s">
        <v>2111</v>
      </c>
      <c r="B457" s="115" t="s">
        <v>2112</v>
      </c>
      <c r="C457" s="116" t="s">
        <v>20</v>
      </c>
      <c r="D457" s="116">
        <v>0</v>
      </c>
      <c r="E457" s="136" t="s">
        <v>572</v>
      </c>
      <c r="F457" s="137" t="str">
        <f t="shared" si="21"/>
        <v/>
      </c>
      <c r="G457" s="138" t="e">
        <f>IF(A457&lt;&gt;"",IF(AND(#REF!="Padrão",$H$4=#REF!),BDI!$B$17,IF(AND(#REF!="Padrão",$H$4=#REF!),BDI!#REF!,IF(AND(#REF!="Diferenciado",$H$4=#REF!),BDI!$E$17,IF(AND(#REF!="Diferenciado",$H$4=#REF!),BDI!#REF!,IF(#REF!="ZERO",0))))),"")</f>
        <v>#REF!</v>
      </c>
      <c r="H457" s="139" t="str">
        <f t="shared" si="22"/>
        <v/>
      </c>
      <c r="I457" s="137" t="str">
        <f t="shared" si="23"/>
        <v/>
      </c>
    </row>
    <row r="458" spans="1:9" hidden="1" x14ac:dyDescent="0.25">
      <c r="A458" s="114" t="s">
        <v>2113</v>
      </c>
      <c r="B458" s="115" t="s">
        <v>2114</v>
      </c>
      <c r="C458" s="116" t="s">
        <v>20</v>
      </c>
      <c r="D458" s="116">
        <v>0</v>
      </c>
      <c r="E458" s="136" t="s">
        <v>572</v>
      </c>
      <c r="F458" s="137" t="str">
        <f t="shared" si="21"/>
        <v/>
      </c>
      <c r="G458" s="138" t="e">
        <f>IF(A458&lt;&gt;"",IF(AND(#REF!="Padrão",$H$4=#REF!),BDI!$B$17,IF(AND(#REF!="Padrão",$H$4=#REF!),BDI!#REF!,IF(AND(#REF!="Diferenciado",$H$4=#REF!),BDI!$E$17,IF(AND(#REF!="Diferenciado",$H$4=#REF!),BDI!#REF!,IF(#REF!="ZERO",0))))),"")</f>
        <v>#REF!</v>
      </c>
      <c r="H458" s="139" t="str">
        <f t="shared" si="22"/>
        <v/>
      </c>
      <c r="I458" s="137" t="str">
        <f t="shared" si="23"/>
        <v/>
      </c>
    </row>
    <row r="459" spans="1:9" hidden="1" x14ac:dyDescent="0.25">
      <c r="A459" s="114" t="s">
        <v>2115</v>
      </c>
      <c r="B459" s="115" t="s">
        <v>2116</v>
      </c>
      <c r="C459" s="116" t="s">
        <v>20</v>
      </c>
      <c r="D459" s="116">
        <v>0</v>
      </c>
      <c r="E459" s="136" t="s">
        <v>572</v>
      </c>
      <c r="F459" s="137" t="str">
        <f t="shared" si="21"/>
        <v/>
      </c>
      <c r="G459" s="138" t="e">
        <f>IF(A459&lt;&gt;"",IF(AND(#REF!="Padrão",$H$4=#REF!),BDI!$B$17,IF(AND(#REF!="Padrão",$H$4=#REF!),BDI!#REF!,IF(AND(#REF!="Diferenciado",$H$4=#REF!),BDI!$E$17,IF(AND(#REF!="Diferenciado",$H$4=#REF!),BDI!#REF!,IF(#REF!="ZERO",0))))),"")</f>
        <v>#REF!</v>
      </c>
      <c r="H459" s="139" t="str">
        <f t="shared" si="22"/>
        <v/>
      </c>
      <c r="I459" s="137" t="str">
        <f t="shared" si="23"/>
        <v/>
      </c>
    </row>
    <row r="460" spans="1:9" hidden="1" x14ac:dyDescent="0.25">
      <c r="A460" s="114" t="s">
        <v>2117</v>
      </c>
      <c r="B460" s="115" t="s">
        <v>2118</v>
      </c>
      <c r="C460" s="116" t="s">
        <v>20</v>
      </c>
      <c r="D460" s="116">
        <v>0</v>
      </c>
      <c r="E460" s="136" t="s">
        <v>572</v>
      </c>
      <c r="F460" s="137" t="str">
        <f t="shared" si="21"/>
        <v/>
      </c>
      <c r="G460" s="138" t="e">
        <f>IF(A460&lt;&gt;"",IF(AND(#REF!="Padrão",$H$4=#REF!),BDI!$B$17,IF(AND(#REF!="Padrão",$H$4=#REF!),BDI!#REF!,IF(AND(#REF!="Diferenciado",$H$4=#REF!),BDI!$E$17,IF(AND(#REF!="Diferenciado",$H$4=#REF!),BDI!#REF!,IF(#REF!="ZERO",0))))),"")</f>
        <v>#REF!</v>
      </c>
      <c r="H460" s="139" t="str">
        <f t="shared" si="22"/>
        <v/>
      </c>
      <c r="I460" s="137" t="str">
        <f t="shared" si="23"/>
        <v/>
      </c>
    </row>
    <row r="461" spans="1:9" ht="25.5" hidden="1" x14ac:dyDescent="0.25">
      <c r="A461" s="114" t="s">
        <v>2119</v>
      </c>
      <c r="B461" s="115" t="s">
        <v>2120</v>
      </c>
      <c r="C461" s="116" t="s">
        <v>20</v>
      </c>
      <c r="D461" s="116">
        <v>0</v>
      </c>
      <c r="E461" s="136" t="s">
        <v>572</v>
      </c>
      <c r="F461" s="137" t="str">
        <f t="shared" si="21"/>
        <v/>
      </c>
      <c r="G461" s="138" t="e">
        <f>IF(A461&lt;&gt;"",IF(AND(#REF!="Padrão",$H$4=#REF!),BDI!$B$17,IF(AND(#REF!="Padrão",$H$4=#REF!),BDI!#REF!,IF(AND(#REF!="Diferenciado",$H$4=#REF!),BDI!$E$17,IF(AND(#REF!="Diferenciado",$H$4=#REF!),BDI!#REF!,IF(#REF!="ZERO",0))))),"")</f>
        <v>#REF!</v>
      </c>
      <c r="H461" s="139" t="str">
        <f t="shared" si="22"/>
        <v/>
      </c>
      <c r="I461" s="137" t="str">
        <f t="shared" si="23"/>
        <v/>
      </c>
    </row>
    <row r="462" spans="1:9" ht="25.5" hidden="1" x14ac:dyDescent="0.25">
      <c r="A462" s="114" t="s">
        <v>2121</v>
      </c>
      <c r="B462" s="115" t="s">
        <v>2122</v>
      </c>
      <c r="C462" s="116" t="s">
        <v>20</v>
      </c>
      <c r="D462" s="116">
        <v>0</v>
      </c>
      <c r="E462" s="136" t="s">
        <v>572</v>
      </c>
      <c r="F462" s="137" t="str">
        <f t="shared" si="21"/>
        <v/>
      </c>
      <c r="G462" s="138" t="e">
        <f>IF(A462&lt;&gt;"",IF(AND(#REF!="Padrão",$H$4=#REF!),BDI!$B$17,IF(AND(#REF!="Padrão",$H$4=#REF!),BDI!#REF!,IF(AND(#REF!="Diferenciado",$H$4=#REF!),BDI!$E$17,IF(AND(#REF!="Diferenciado",$H$4=#REF!),BDI!#REF!,IF(#REF!="ZERO",0))))),"")</f>
        <v>#REF!</v>
      </c>
      <c r="H462" s="139" t="str">
        <f t="shared" si="22"/>
        <v/>
      </c>
      <c r="I462" s="137" t="str">
        <f t="shared" si="23"/>
        <v/>
      </c>
    </row>
    <row r="463" spans="1:9" hidden="1" x14ac:dyDescent="0.25">
      <c r="A463" s="114" t="s">
        <v>2123</v>
      </c>
      <c r="B463" s="115" t="s">
        <v>2124</v>
      </c>
      <c r="C463" s="116" t="s">
        <v>20</v>
      </c>
      <c r="D463" s="116">
        <v>0</v>
      </c>
      <c r="E463" s="136" t="s">
        <v>572</v>
      </c>
      <c r="F463" s="137" t="str">
        <f t="shared" si="21"/>
        <v/>
      </c>
      <c r="G463" s="138" t="e">
        <f>IF(A463&lt;&gt;"",IF(AND(#REF!="Padrão",$H$4=#REF!),BDI!$B$17,IF(AND(#REF!="Padrão",$H$4=#REF!),BDI!#REF!,IF(AND(#REF!="Diferenciado",$H$4=#REF!),BDI!$E$17,IF(AND(#REF!="Diferenciado",$H$4=#REF!),BDI!#REF!,IF(#REF!="ZERO",0))))),"")</f>
        <v>#REF!</v>
      </c>
      <c r="H463" s="139" t="str">
        <f t="shared" si="22"/>
        <v/>
      </c>
      <c r="I463" s="137" t="str">
        <f t="shared" si="23"/>
        <v/>
      </c>
    </row>
    <row r="464" spans="1:9" hidden="1" x14ac:dyDescent="0.25">
      <c r="A464" s="114" t="s">
        <v>2125</v>
      </c>
      <c r="B464" s="115" t="s">
        <v>2126</v>
      </c>
      <c r="C464" s="116" t="s">
        <v>20</v>
      </c>
      <c r="D464" s="116">
        <v>0</v>
      </c>
      <c r="E464" s="136" t="s">
        <v>572</v>
      </c>
      <c r="F464" s="137" t="str">
        <f t="shared" si="21"/>
        <v/>
      </c>
      <c r="G464" s="138" t="e">
        <f>IF(A464&lt;&gt;"",IF(AND(#REF!="Padrão",$H$4=#REF!),BDI!$B$17,IF(AND(#REF!="Padrão",$H$4=#REF!),BDI!#REF!,IF(AND(#REF!="Diferenciado",$H$4=#REF!),BDI!$E$17,IF(AND(#REF!="Diferenciado",$H$4=#REF!),BDI!#REF!,IF(#REF!="ZERO",0))))),"")</f>
        <v>#REF!</v>
      </c>
      <c r="H464" s="139" t="str">
        <f t="shared" si="22"/>
        <v/>
      </c>
      <c r="I464" s="137" t="str">
        <f t="shared" si="23"/>
        <v/>
      </c>
    </row>
    <row r="465" spans="1:11" hidden="1" x14ac:dyDescent="0.25">
      <c r="A465" s="114" t="s">
        <v>2127</v>
      </c>
      <c r="B465" s="115" t="s">
        <v>2128</v>
      </c>
      <c r="C465" s="116" t="s">
        <v>20</v>
      </c>
      <c r="D465" s="116">
        <v>0</v>
      </c>
      <c r="E465" s="136" t="s">
        <v>572</v>
      </c>
      <c r="F465" s="137" t="str">
        <f t="shared" si="21"/>
        <v/>
      </c>
      <c r="G465" s="138" t="e">
        <f>IF(A465&lt;&gt;"",IF(AND(#REF!="Padrão",$H$4=#REF!),BDI!$B$17,IF(AND(#REF!="Padrão",$H$4=#REF!),BDI!#REF!,IF(AND(#REF!="Diferenciado",$H$4=#REF!),BDI!$E$17,IF(AND(#REF!="Diferenciado",$H$4=#REF!),BDI!#REF!,IF(#REF!="ZERO",0))))),"")</f>
        <v>#REF!</v>
      </c>
      <c r="H465" s="139" t="str">
        <f t="shared" si="22"/>
        <v/>
      </c>
      <c r="I465" s="137" t="str">
        <f t="shared" si="23"/>
        <v/>
      </c>
    </row>
    <row r="466" spans="1:11" hidden="1" x14ac:dyDescent="0.25">
      <c r="A466" s="114" t="s">
        <v>2129</v>
      </c>
      <c r="B466" s="115" t="s">
        <v>2130</v>
      </c>
      <c r="C466" s="116" t="s">
        <v>20</v>
      </c>
      <c r="D466" s="116">
        <v>0</v>
      </c>
      <c r="E466" s="136" t="s">
        <v>572</v>
      </c>
      <c r="F466" s="137" t="str">
        <f t="shared" si="21"/>
        <v/>
      </c>
      <c r="G466" s="138" t="e">
        <f>IF(A466&lt;&gt;"",IF(AND(#REF!="Padrão",$H$4=#REF!),BDI!$B$17,IF(AND(#REF!="Padrão",$H$4=#REF!),BDI!#REF!,IF(AND(#REF!="Diferenciado",$H$4=#REF!),BDI!$E$17,IF(AND(#REF!="Diferenciado",$H$4=#REF!),BDI!#REF!,IF(#REF!="ZERO",0))))),"")</f>
        <v>#REF!</v>
      </c>
      <c r="H466" s="139" t="str">
        <f t="shared" si="22"/>
        <v/>
      </c>
      <c r="I466" s="137" t="str">
        <f t="shared" si="23"/>
        <v/>
      </c>
    </row>
    <row r="467" spans="1:11" hidden="1" x14ac:dyDescent="0.25">
      <c r="A467" s="114" t="s">
        <v>2131</v>
      </c>
      <c r="B467" s="115" t="s">
        <v>2132</v>
      </c>
      <c r="C467" s="116" t="s">
        <v>20</v>
      </c>
      <c r="D467" s="116">
        <v>0</v>
      </c>
      <c r="E467" s="136" t="s">
        <v>572</v>
      </c>
      <c r="F467" s="137" t="str">
        <f t="shared" si="21"/>
        <v/>
      </c>
      <c r="G467" s="138" t="e">
        <f>IF(A467&lt;&gt;"",IF(AND(#REF!="Padrão",$H$4=#REF!),BDI!$B$17,IF(AND(#REF!="Padrão",$H$4=#REF!),BDI!#REF!,IF(AND(#REF!="Diferenciado",$H$4=#REF!),BDI!$E$17,IF(AND(#REF!="Diferenciado",$H$4=#REF!),BDI!#REF!,IF(#REF!="ZERO",0))))),"")</f>
        <v>#REF!</v>
      </c>
      <c r="H467" s="139" t="str">
        <f t="shared" si="22"/>
        <v/>
      </c>
      <c r="I467" s="137" t="str">
        <f t="shared" si="23"/>
        <v/>
      </c>
    </row>
    <row r="468" spans="1:11" hidden="1" x14ac:dyDescent="0.25">
      <c r="A468" s="114" t="s">
        <v>2133</v>
      </c>
      <c r="B468" s="115" t="s">
        <v>2134</v>
      </c>
      <c r="C468" s="116" t="s">
        <v>20</v>
      </c>
      <c r="D468" s="116">
        <v>0</v>
      </c>
      <c r="E468" s="136" t="s">
        <v>572</v>
      </c>
      <c r="F468" s="137" t="str">
        <f t="shared" si="21"/>
        <v/>
      </c>
      <c r="G468" s="138" t="e">
        <f>IF(A468&lt;&gt;"",IF(AND(#REF!="Padrão",$H$4=#REF!),BDI!$B$17,IF(AND(#REF!="Padrão",$H$4=#REF!),BDI!#REF!,IF(AND(#REF!="Diferenciado",$H$4=#REF!),BDI!$E$17,IF(AND(#REF!="Diferenciado",$H$4=#REF!),BDI!#REF!,IF(#REF!="ZERO",0))))),"")</f>
        <v>#REF!</v>
      </c>
      <c r="H468" s="139" t="str">
        <f t="shared" si="22"/>
        <v/>
      </c>
      <c r="I468" s="137" t="str">
        <f t="shared" si="23"/>
        <v/>
      </c>
    </row>
    <row r="469" spans="1:11" hidden="1" x14ac:dyDescent="0.25">
      <c r="A469" s="114" t="s">
        <v>2135</v>
      </c>
      <c r="B469" s="115" t="s">
        <v>2136</v>
      </c>
      <c r="C469" s="116" t="s">
        <v>20</v>
      </c>
      <c r="D469" s="116">
        <v>0</v>
      </c>
      <c r="E469" s="136" t="s">
        <v>572</v>
      </c>
      <c r="F469" s="137" t="str">
        <f t="shared" si="21"/>
        <v/>
      </c>
      <c r="G469" s="138" t="e">
        <f>IF(A469&lt;&gt;"",IF(AND(#REF!="Padrão",$H$4=#REF!),BDI!$B$17,IF(AND(#REF!="Padrão",$H$4=#REF!),BDI!#REF!,IF(AND(#REF!="Diferenciado",$H$4=#REF!),BDI!$E$17,IF(AND(#REF!="Diferenciado",$H$4=#REF!),BDI!#REF!,IF(#REF!="ZERO",0))))),"")</f>
        <v>#REF!</v>
      </c>
      <c r="H469" s="139" t="str">
        <f t="shared" si="22"/>
        <v/>
      </c>
      <c r="I469" s="137" t="str">
        <f t="shared" si="23"/>
        <v/>
      </c>
    </row>
    <row r="470" spans="1:11" hidden="1" x14ac:dyDescent="0.25">
      <c r="A470" s="114" t="s">
        <v>2137</v>
      </c>
      <c r="B470" s="115" t="s">
        <v>2138</v>
      </c>
      <c r="C470" s="116" t="s">
        <v>20</v>
      </c>
      <c r="D470" s="116">
        <v>0</v>
      </c>
      <c r="E470" s="136" t="s">
        <v>572</v>
      </c>
      <c r="F470" s="137" t="str">
        <f t="shared" si="21"/>
        <v/>
      </c>
      <c r="G470" s="138" t="e">
        <f>IF(A470&lt;&gt;"",IF(AND(#REF!="Padrão",$H$4=#REF!),BDI!$B$17,IF(AND(#REF!="Padrão",$H$4=#REF!),BDI!#REF!,IF(AND(#REF!="Diferenciado",$H$4=#REF!),BDI!$E$17,IF(AND(#REF!="Diferenciado",$H$4=#REF!),BDI!#REF!,IF(#REF!="ZERO",0))))),"")</f>
        <v>#REF!</v>
      </c>
      <c r="H470" s="139" t="str">
        <f t="shared" si="22"/>
        <v/>
      </c>
      <c r="I470" s="137" t="str">
        <f t="shared" si="23"/>
        <v/>
      </c>
    </row>
    <row r="471" spans="1:11" hidden="1" x14ac:dyDescent="0.25">
      <c r="A471" s="114" t="s">
        <v>2139</v>
      </c>
      <c r="B471" s="115" t="s">
        <v>2140</v>
      </c>
      <c r="C471" s="116" t="s">
        <v>20</v>
      </c>
      <c r="D471" s="116">
        <v>0</v>
      </c>
      <c r="E471" s="136" t="s">
        <v>572</v>
      </c>
      <c r="F471" s="137" t="str">
        <f t="shared" si="21"/>
        <v/>
      </c>
      <c r="G471" s="138" t="e">
        <f>IF(A471&lt;&gt;"",IF(AND(#REF!="Padrão",$H$4=#REF!),BDI!$B$17,IF(AND(#REF!="Padrão",$H$4=#REF!),BDI!#REF!,IF(AND(#REF!="Diferenciado",$H$4=#REF!),BDI!$E$17,IF(AND(#REF!="Diferenciado",$H$4=#REF!),BDI!#REF!,IF(#REF!="ZERO",0))))),"")</f>
        <v>#REF!</v>
      </c>
      <c r="H471" s="139" t="str">
        <f t="shared" si="22"/>
        <v/>
      </c>
      <c r="I471" s="137" t="str">
        <f t="shared" si="23"/>
        <v/>
      </c>
    </row>
    <row r="472" spans="1:11" x14ac:dyDescent="0.25">
      <c r="A472" s="187" t="s">
        <v>798</v>
      </c>
      <c r="B472" s="188" t="s">
        <v>2141</v>
      </c>
      <c r="C472" s="189" t="s">
        <v>2142</v>
      </c>
      <c r="D472" s="189">
        <v>2</v>
      </c>
      <c r="E472" s="136">
        <f ca="1">OFFSET(INDEX(Composições!A:J,MATCH(Orçamentária!A472,Composições!A:A,0),8),2,0)</f>
        <v>20.9</v>
      </c>
      <c r="F472" s="137">
        <f t="shared" ca="1" si="21"/>
        <v>41.8</v>
      </c>
      <c r="G472" s="138">
        <f>BDI!$B$17</f>
        <v>0.191</v>
      </c>
      <c r="H472" s="139">
        <f t="shared" ca="1" si="22"/>
        <v>24.89</v>
      </c>
      <c r="I472" s="137">
        <f t="shared" ca="1" si="23"/>
        <v>49.78</v>
      </c>
      <c r="K472" s="182"/>
    </row>
    <row r="473" spans="1:11" hidden="1" x14ac:dyDescent="0.25">
      <c r="A473" s="114" t="s">
        <v>2143</v>
      </c>
      <c r="B473" s="115" t="s">
        <v>2144</v>
      </c>
      <c r="C473" s="116" t="s">
        <v>42</v>
      </c>
      <c r="D473" s="116">
        <v>0</v>
      </c>
      <c r="E473" s="136">
        <f ca="1">OFFSET(INDEX(Composições!A:J,MATCH(Orçamentária!A473,Composições!A:A,0),8),2,0)</f>
        <v>25.478999999999999</v>
      </c>
      <c r="F473" s="137">
        <f t="shared" ca="1" si="21"/>
        <v>0</v>
      </c>
      <c r="G473" s="138" t="e">
        <f>IF(A473&lt;&gt;"",IF(AND(#REF!="Padrão",$H$4=#REF!),BDI!$B$17,IF(AND(#REF!="Padrão",$H$4=#REF!),BDI!#REF!,IF(AND(#REF!="Diferenciado",$H$4=#REF!),BDI!$E$17,IF(AND(#REF!="Diferenciado",$H$4=#REF!),BDI!#REF!,IF(#REF!="ZERO",0))))),"")</f>
        <v>#REF!</v>
      </c>
      <c r="H473" s="139" t="e">
        <f t="shared" ca="1" si="22"/>
        <v>#REF!</v>
      </c>
      <c r="I473" s="137" t="e">
        <f t="shared" ca="1" si="23"/>
        <v>#REF!</v>
      </c>
    </row>
    <row r="474" spans="1:11" hidden="1" x14ac:dyDescent="0.25">
      <c r="A474" s="114" t="s">
        <v>2145</v>
      </c>
      <c r="B474" s="115" t="s">
        <v>2146</v>
      </c>
      <c r="C474" s="116" t="s">
        <v>42</v>
      </c>
      <c r="D474" s="116">
        <v>0</v>
      </c>
      <c r="E474" s="136" t="s">
        <v>572</v>
      </c>
      <c r="F474" s="137" t="str">
        <f t="shared" si="21"/>
        <v/>
      </c>
      <c r="G474" s="138" t="e">
        <f>IF(A474&lt;&gt;"",IF(AND(#REF!="Padrão",$H$4=#REF!),BDI!$B$17,IF(AND(#REF!="Padrão",$H$4=#REF!),BDI!#REF!,IF(AND(#REF!="Diferenciado",$H$4=#REF!),BDI!$E$17,IF(AND(#REF!="Diferenciado",$H$4=#REF!),BDI!#REF!,IF(#REF!="ZERO",0))))),"")</f>
        <v>#REF!</v>
      </c>
      <c r="H474" s="139" t="str">
        <f t="shared" si="22"/>
        <v/>
      </c>
      <c r="I474" s="137" t="str">
        <f t="shared" si="23"/>
        <v/>
      </c>
    </row>
    <row r="475" spans="1:11" hidden="1" x14ac:dyDescent="0.25">
      <c r="A475" s="114" t="s">
        <v>2147</v>
      </c>
      <c r="B475" s="115" t="s">
        <v>2148</v>
      </c>
      <c r="C475" s="116" t="s">
        <v>96</v>
      </c>
      <c r="D475" s="116">
        <v>0</v>
      </c>
      <c r="E475" s="136">
        <f ca="1">OFFSET(INDEX(Composições!A:J,MATCH(Orçamentária!A475,Composições!A:A,0),8),2,0)</f>
        <v>37.610500000000002</v>
      </c>
      <c r="F475" s="137">
        <f t="shared" ca="1" si="21"/>
        <v>0</v>
      </c>
      <c r="G475" s="138" t="e">
        <f>IF(A475&lt;&gt;"",IF(AND(#REF!="Padrão",$H$4=#REF!),BDI!$B$17,IF(AND(#REF!="Padrão",$H$4=#REF!),BDI!#REF!,IF(AND(#REF!="Diferenciado",$H$4=#REF!),BDI!$E$17,IF(AND(#REF!="Diferenciado",$H$4=#REF!),BDI!#REF!,IF(#REF!="ZERO",0))))),"")</f>
        <v>#REF!</v>
      </c>
      <c r="H475" s="139" t="e">
        <f t="shared" ca="1" si="22"/>
        <v>#REF!</v>
      </c>
      <c r="I475" s="137" t="e">
        <f t="shared" ca="1" si="23"/>
        <v>#REF!</v>
      </c>
    </row>
    <row r="476" spans="1:11" hidden="1" x14ac:dyDescent="0.25">
      <c r="A476" s="114" t="s">
        <v>2149</v>
      </c>
      <c r="B476" s="115" t="s">
        <v>2150</v>
      </c>
      <c r="C476" s="116" t="s">
        <v>96</v>
      </c>
      <c r="D476" s="116">
        <v>0</v>
      </c>
      <c r="E476" s="136">
        <f ca="1">OFFSET(INDEX(Composições!A:J,MATCH(Orçamentária!A476,Composições!A:A,0),8),2,0)</f>
        <v>37.610500000000002</v>
      </c>
      <c r="F476" s="137">
        <f t="shared" ca="1" si="21"/>
        <v>0</v>
      </c>
      <c r="G476" s="138" t="e">
        <f>IF(A476&lt;&gt;"",IF(AND(#REF!="Padrão",$H$4=#REF!),BDI!$B$17,IF(AND(#REF!="Padrão",$H$4=#REF!),BDI!#REF!,IF(AND(#REF!="Diferenciado",$H$4=#REF!),BDI!$E$17,IF(AND(#REF!="Diferenciado",$H$4=#REF!),BDI!#REF!,IF(#REF!="ZERO",0))))),"")</f>
        <v>#REF!</v>
      </c>
      <c r="H476" s="139" t="e">
        <f t="shared" ca="1" si="22"/>
        <v>#REF!</v>
      </c>
      <c r="I476" s="137" t="e">
        <f t="shared" ca="1" si="23"/>
        <v>#REF!</v>
      </c>
    </row>
    <row r="477" spans="1:11" hidden="1" x14ac:dyDescent="0.25">
      <c r="A477" s="114" t="s">
        <v>2151</v>
      </c>
      <c r="B477" s="115" t="s">
        <v>2152</v>
      </c>
      <c r="C477" s="116" t="s">
        <v>96</v>
      </c>
      <c r="D477" s="116">
        <v>0</v>
      </c>
      <c r="E477" s="136">
        <f ca="1">OFFSET(INDEX(Composições!A:J,MATCH(Orçamentária!A477,Composições!A:A,0),8),2,0)</f>
        <v>37.610500000000002</v>
      </c>
      <c r="F477" s="137">
        <f t="shared" ca="1" si="21"/>
        <v>0</v>
      </c>
      <c r="G477" s="138" t="e">
        <f>IF(A477&lt;&gt;"",IF(AND(#REF!="Padrão",$H$4=#REF!),BDI!$B$17,IF(AND(#REF!="Padrão",$H$4=#REF!),BDI!#REF!,IF(AND(#REF!="Diferenciado",$H$4=#REF!),BDI!$E$17,IF(AND(#REF!="Diferenciado",$H$4=#REF!),BDI!#REF!,IF(#REF!="ZERO",0))))),"")</f>
        <v>#REF!</v>
      </c>
      <c r="H477" s="139" t="e">
        <f t="shared" ca="1" si="22"/>
        <v>#REF!</v>
      </c>
      <c r="I477" s="137" t="e">
        <f t="shared" ca="1" si="23"/>
        <v>#REF!</v>
      </c>
    </row>
    <row r="478" spans="1:11" hidden="1" x14ac:dyDescent="0.25">
      <c r="A478" s="114" t="s">
        <v>2153</v>
      </c>
      <c r="B478" s="115" t="s">
        <v>3833</v>
      </c>
      <c r="C478" s="116" t="s">
        <v>96</v>
      </c>
      <c r="D478" s="116">
        <v>0</v>
      </c>
      <c r="E478" s="136" t="s">
        <v>572</v>
      </c>
      <c r="F478" s="137" t="str">
        <f t="shared" si="21"/>
        <v/>
      </c>
      <c r="G478" s="138" t="e">
        <f>IF(A478&lt;&gt;"",IF(AND(#REF!="Padrão",$H$4=#REF!),BDI!$B$17,IF(AND(#REF!="Padrão",$H$4=#REF!),BDI!#REF!,IF(AND(#REF!="Diferenciado",$H$4=#REF!),BDI!$E$17,IF(AND(#REF!="Diferenciado",$H$4=#REF!),BDI!#REF!,IF(#REF!="ZERO",0))))),"")</f>
        <v>#REF!</v>
      </c>
      <c r="H478" s="139" t="str">
        <f t="shared" si="22"/>
        <v/>
      </c>
      <c r="I478" s="137" t="str">
        <f t="shared" si="23"/>
        <v/>
      </c>
    </row>
    <row r="479" spans="1:11" hidden="1" x14ac:dyDescent="0.25">
      <c r="A479" s="114" t="s">
        <v>2154</v>
      </c>
      <c r="B479" s="115" t="s">
        <v>2155</v>
      </c>
      <c r="C479" s="116" t="s">
        <v>96</v>
      </c>
      <c r="D479" s="116">
        <v>0</v>
      </c>
      <c r="E479" s="136" t="s">
        <v>572</v>
      </c>
      <c r="F479" s="137" t="str">
        <f t="shared" si="21"/>
        <v/>
      </c>
      <c r="G479" s="138" t="e">
        <f>IF(A479&lt;&gt;"",IF(AND(#REF!="Padrão",$H$4=#REF!),BDI!$B$17,IF(AND(#REF!="Padrão",$H$4=#REF!),BDI!#REF!,IF(AND(#REF!="Diferenciado",$H$4=#REF!),BDI!$E$17,IF(AND(#REF!="Diferenciado",$H$4=#REF!),BDI!#REF!,IF(#REF!="ZERO",0))))),"")</f>
        <v>#REF!</v>
      </c>
      <c r="H479" s="139" t="str">
        <f t="shared" si="22"/>
        <v/>
      </c>
      <c r="I479" s="137" t="str">
        <f t="shared" si="23"/>
        <v/>
      </c>
    </row>
    <row r="480" spans="1:11" hidden="1" x14ac:dyDescent="0.25">
      <c r="A480" s="114" t="s">
        <v>2156</v>
      </c>
      <c r="B480" s="115" t="s">
        <v>2157</v>
      </c>
      <c r="C480" s="116" t="s">
        <v>96</v>
      </c>
      <c r="D480" s="116">
        <v>0</v>
      </c>
      <c r="E480" s="136" t="s">
        <v>572</v>
      </c>
      <c r="F480" s="137" t="str">
        <f t="shared" si="21"/>
        <v/>
      </c>
      <c r="G480" s="138" t="e">
        <f>IF(A480&lt;&gt;"",IF(AND(#REF!="Padrão",$H$4=#REF!),BDI!$B$17,IF(AND(#REF!="Padrão",$H$4=#REF!),BDI!#REF!,IF(AND(#REF!="Diferenciado",$H$4=#REF!),BDI!$E$17,IF(AND(#REF!="Diferenciado",$H$4=#REF!),BDI!#REF!,IF(#REF!="ZERO",0))))),"")</f>
        <v>#REF!</v>
      </c>
      <c r="H480" s="139" t="str">
        <f t="shared" si="22"/>
        <v/>
      </c>
      <c r="I480" s="137" t="str">
        <f t="shared" si="23"/>
        <v/>
      </c>
    </row>
    <row r="481" spans="1:9" hidden="1" x14ac:dyDescent="0.25">
      <c r="A481" s="114" t="s">
        <v>2158</v>
      </c>
      <c r="B481" s="115" t="s">
        <v>2159</v>
      </c>
      <c r="C481" s="116" t="s">
        <v>96</v>
      </c>
      <c r="D481" s="116">
        <v>0</v>
      </c>
      <c r="E481" s="136" t="s">
        <v>572</v>
      </c>
      <c r="F481" s="137" t="str">
        <f t="shared" si="21"/>
        <v/>
      </c>
      <c r="G481" s="138" t="e">
        <f>IF(A481&lt;&gt;"",IF(AND(#REF!="Padrão",$H$4=#REF!),BDI!$B$17,IF(AND(#REF!="Padrão",$H$4=#REF!),BDI!#REF!,IF(AND(#REF!="Diferenciado",$H$4=#REF!),BDI!$E$17,IF(AND(#REF!="Diferenciado",$H$4=#REF!),BDI!#REF!,IF(#REF!="ZERO",0))))),"")</f>
        <v>#REF!</v>
      </c>
      <c r="H481" s="139" t="str">
        <f t="shared" si="22"/>
        <v/>
      </c>
      <c r="I481" s="137" t="str">
        <f t="shared" si="23"/>
        <v/>
      </c>
    </row>
    <row r="482" spans="1:9" hidden="1" x14ac:dyDescent="0.25">
      <c r="A482" s="114" t="s">
        <v>2160</v>
      </c>
      <c r="B482" s="115" t="s">
        <v>2161</v>
      </c>
      <c r="C482" s="116" t="s">
        <v>96</v>
      </c>
      <c r="D482" s="116">
        <v>0</v>
      </c>
      <c r="E482" s="136" t="s">
        <v>572</v>
      </c>
      <c r="F482" s="137" t="str">
        <f t="shared" si="21"/>
        <v/>
      </c>
      <c r="G482" s="138" t="e">
        <f>IF(A482&lt;&gt;"",IF(AND(#REF!="Padrão",$H$4=#REF!),BDI!$B$17,IF(AND(#REF!="Padrão",$H$4=#REF!),BDI!#REF!,IF(AND(#REF!="Diferenciado",$H$4=#REF!),BDI!$E$17,IF(AND(#REF!="Diferenciado",$H$4=#REF!),BDI!#REF!,IF(#REF!="ZERO",0))))),"")</f>
        <v>#REF!</v>
      </c>
      <c r="H482" s="139" t="str">
        <f t="shared" si="22"/>
        <v/>
      </c>
      <c r="I482" s="137" t="str">
        <f t="shared" si="23"/>
        <v/>
      </c>
    </row>
    <row r="483" spans="1:9" hidden="1" x14ac:dyDescent="0.25">
      <c r="A483" s="114" t="s">
        <v>2162</v>
      </c>
      <c r="B483" s="115" t="s">
        <v>2163</v>
      </c>
      <c r="C483" s="116" t="s">
        <v>96</v>
      </c>
      <c r="D483" s="116">
        <v>0</v>
      </c>
      <c r="E483" s="136" t="s">
        <v>572</v>
      </c>
      <c r="F483" s="137" t="str">
        <f t="shared" si="21"/>
        <v/>
      </c>
      <c r="G483" s="138" t="e">
        <f>IF(A483&lt;&gt;"",IF(AND(#REF!="Padrão",$H$4=#REF!),BDI!$B$17,IF(AND(#REF!="Padrão",$H$4=#REF!),BDI!#REF!,IF(AND(#REF!="Diferenciado",$H$4=#REF!),BDI!$E$17,IF(AND(#REF!="Diferenciado",$H$4=#REF!),BDI!#REF!,IF(#REF!="ZERO",0))))),"")</f>
        <v>#REF!</v>
      </c>
      <c r="H483" s="139" t="str">
        <f t="shared" si="22"/>
        <v/>
      </c>
      <c r="I483" s="137" t="str">
        <f t="shared" si="23"/>
        <v/>
      </c>
    </row>
    <row r="484" spans="1:9" hidden="1" x14ac:dyDescent="0.25">
      <c r="A484" s="114" t="s">
        <v>2164</v>
      </c>
      <c r="B484" s="115" t="s">
        <v>2165</v>
      </c>
      <c r="C484" s="116" t="s">
        <v>96</v>
      </c>
      <c r="D484" s="116">
        <v>0</v>
      </c>
      <c r="E484" s="136" t="s">
        <v>572</v>
      </c>
      <c r="F484" s="137" t="str">
        <f t="shared" si="21"/>
        <v/>
      </c>
      <c r="G484" s="138" t="e">
        <f>IF(A484&lt;&gt;"",IF(AND(#REF!="Padrão",$H$4=#REF!),BDI!$B$17,IF(AND(#REF!="Padrão",$H$4=#REF!),BDI!#REF!,IF(AND(#REF!="Diferenciado",$H$4=#REF!),BDI!$E$17,IF(AND(#REF!="Diferenciado",$H$4=#REF!),BDI!#REF!,IF(#REF!="ZERO",0))))),"")</f>
        <v>#REF!</v>
      </c>
      <c r="H484" s="139" t="str">
        <f t="shared" si="22"/>
        <v/>
      </c>
      <c r="I484" s="137" t="str">
        <f t="shared" si="23"/>
        <v/>
      </c>
    </row>
    <row r="485" spans="1:9" hidden="1" x14ac:dyDescent="0.25">
      <c r="A485" s="114" t="s">
        <v>2166</v>
      </c>
      <c r="B485" s="115" t="s">
        <v>2167</v>
      </c>
      <c r="C485" s="116" t="s">
        <v>96</v>
      </c>
      <c r="D485" s="116">
        <v>0</v>
      </c>
      <c r="E485" s="136" t="s">
        <v>572</v>
      </c>
      <c r="F485" s="137" t="str">
        <f t="shared" si="21"/>
        <v/>
      </c>
      <c r="G485" s="138" t="e">
        <f>IF(A485&lt;&gt;"",IF(AND(#REF!="Padrão",$H$4=#REF!),BDI!$B$17,IF(AND(#REF!="Padrão",$H$4=#REF!),BDI!#REF!,IF(AND(#REF!="Diferenciado",$H$4=#REF!),BDI!$E$17,IF(AND(#REF!="Diferenciado",$H$4=#REF!),BDI!#REF!,IF(#REF!="ZERO",0))))),"")</f>
        <v>#REF!</v>
      </c>
      <c r="H485" s="139" t="str">
        <f t="shared" si="22"/>
        <v/>
      </c>
      <c r="I485" s="137" t="str">
        <f t="shared" si="23"/>
        <v/>
      </c>
    </row>
    <row r="486" spans="1:9" hidden="1" x14ac:dyDescent="0.25">
      <c r="A486" s="114" t="s">
        <v>2168</v>
      </c>
      <c r="B486" s="115" t="s">
        <v>3830</v>
      </c>
      <c r="C486" s="116" t="s">
        <v>96</v>
      </c>
      <c r="D486" s="116">
        <v>0</v>
      </c>
      <c r="E486" s="136" t="s">
        <v>572</v>
      </c>
      <c r="F486" s="137" t="str">
        <f t="shared" si="21"/>
        <v/>
      </c>
      <c r="G486" s="138" t="e">
        <f>IF(A486&lt;&gt;"",IF(AND(#REF!="Padrão",$H$4=#REF!),BDI!$B$17,IF(AND(#REF!="Padrão",$H$4=#REF!),BDI!#REF!,IF(AND(#REF!="Diferenciado",$H$4=#REF!),BDI!$E$17,IF(AND(#REF!="Diferenciado",$H$4=#REF!),BDI!#REF!,IF(#REF!="ZERO",0))))),"")</f>
        <v>#REF!</v>
      </c>
      <c r="H486" s="139" t="str">
        <f t="shared" si="22"/>
        <v/>
      </c>
      <c r="I486" s="137" t="str">
        <f t="shared" si="23"/>
        <v/>
      </c>
    </row>
    <row r="487" spans="1:9" hidden="1" x14ac:dyDescent="0.25">
      <c r="A487" s="114" t="s">
        <v>2169</v>
      </c>
      <c r="B487" s="115" t="s">
        <v>2170</v>
      </c>
      <c r="C487" s="116" t="s">
        <v>96</v>
      </c>
      <c r="D487" s="116">
        <v>0</v>
      </c>
      <c r="E487" s="136" t="s">
        <v>572</v>
      </c>
      <c r="F487" s="137" t="str">
        <f t="shared" si="21"/>
        <v/>
      </c>
      <c r="G487" s="138" t="e">
        <f>IF(A487&lt;&gt;"",IF(AND(#REF!="Padrão",$H$4=#REF!),BDI!$B$17,IF(AND(#REF!="Padrão",$H$4=#REF!),BDI!#REF!,IF(AND(#REF!="Diferenciado",$H$4=#REF!),BDI!$E$17,IF(AND(#REF!="Diferenciado",$H$4=#REF!),BDI!#REF!,IF(#REF!="ZERO",0))))),"")</f>
        <v>#REF!</v>
      </c>
      <c r="H487" s="139" t="str">
        <f t="shared" si="22"/>
        <v/>
      </c>
      <c r="I487" s="137" t="str">
        <f t="shared" si="23"/>
        <v/>
      </c>
    </row>
    <row r="488" spans="1:9" hidden="1" x14ac:dyDescent="0.25">
      <c r="A488" s="114" t="s">
        <v>2171</v>
      </c>
      <c r="B488" s="115" t="s">
        <v>2172</v>
      </c>
      <c r="C488" s="116" t="s">
        <v>96</v>
      </c>
      <c r="D488" s="116">
        <v>0</v>
      </c>
      <c r="E488" s="136" t="s">
        <v>572</v>
      </c>
      <c r="F488" s="137" t="str">
        <f t="shared" si="21"/>
        <v/>
      </c>
      <c r="G488" s="138" t="e">
        <f>IF(A488&lt;&gt;"",IF(AND(#REF!="Padrão",$H$4=#REF!),BDI!$B$17,IF(AND(#REF!="Padrão",$H$4=#REF!),BDI!#REF!,IF(AND(#REF!="Diferenciado",$H$4=#REF!),BDI!$E$17,IF(AND(#REF!="Diferenciado",$H$4=#REF!),BDI!#REF!,IF(#REF!="ZERO",0))))),"")</f>
        <v>#REF!</v>
      </c>
      <c r="H488" s="139" t="str">
        <f t="shared" si="22"/>
        <v/>
      </c>
      <c r="I488" s="137" t="str">
        <f t="shared" si="23"/>
        <v/>
      </c>
    </row>
    <row r="489" spans="1:9" hidden="1" x14ac:dyDescent="0.25">
      <c r="A489" s="114" t="s">
        <v>2173</v>
      </c>
      <c r="B489" s="115" t="s">
        <v>2174</v>
      </c>
      <c r="C489" s="116" t="s">
        <v>96</v>
      </c>
      <c r="D489" s="116">
        <v>0</v>
      </c>
      <c r="E489" s="136" t="s">
        <v>572</v>
      </c>
      <c r="F489" s="137" t="str">
        <f t="shared" si="21"/>
        <v/>
      </c>
      <c r="G489" s="138" t="e">
        <f>IF(A489&lt;&gt;"",IF(AND(#REF!="Padrão",$H$4=#REF!),BDI!$B$17,IF(AND(#REF!="Padrão",$H$4=#REF!),BDI!#REF!,IF(AND(#REF!="Diferenciado",$H$4=#REF!),BDI!$E$17,IF(AND(#REF!="Diferenciado",$H$4=#REF!),BDI!#REF!,IF(#REF!="ZERO",0))))),"")</f>
        <v>#REF!</v>
      </c>
      <c r="H489" s="139" t="str">
        <f t="shared" si="22"/>
        <v/>
      </c>
      <c r="I489" s="137" t="str">
        <f t="shared" si="23"/>
        <v/>
      </c>
    </row>
    <row r="490" spans="1:9" hidden="1" x14ac:dyDescent="0.25">
      <c r="A490" s="114" t="s">
        <v>2175</v>
      </c>
      <c r="B490" s="115" t="s">
        <v>2176</v>
      </c>
      <c r="C490" s="116" t="s">
        <v>96</v>
      </c>
      <c r="D490" s="116">
        <v>0</v>
      </c>
      <c r="E490" s="136" t="s">
        <v>572</v>
      </c>
      <c r="F490" s="137" t="str">
        <f t="shared" si="21"/>
        <v/>
      </c>
      <c r="G490" s="138" t="e">
        <f>IF(A490&lt;&gt;"",IF(AND(#REF!="Padrão",$H$4=#REF!),BDI!$B$17,IF(AND(#REF!="Padrão",$H$4=#REF!),BDI!#REF!,IF(AND(#REF!="Diferenciado",$H$4=#REF!),BDI!$E$17,IF(AND(#REF!="Diferenciado",$H$4=#REF!),BDI!#REF!,IF(#REF!="ZERO",0))))),"")</f>
        <v>#REF!</v>
      </c>
      <c r="H490" s="139" t="str">
        <f t="shared" si="22"/>
        <v/>
      </c>
      <c r="I490" s="137" t="str">
        <f t="shared" si="23"/>
        <v/>
      </c>
    </row>
    <row r="491" spans="1:9" hidden="1" x14ac:dyDescent="0.25">
      <c r="A491" s="114" t="s">
        <v>2177</v>
      </c>
      <c r="B491" s="115" t="s">
        <v>2178</v>
      </c>
      <c r="C491" s="116" t="s">
        <v>112</v>
      </c>
      <c r="D491" s="116">
        <v>0</v>
      </c>
      <c r="E491" s="136" t="s">
        <v>572</v>
      </c>
      <c r="F491" s="137" t="str">
        <f t="shared" si="21"/>
        <v/>
      </c>
      <c r="G491" s="138" t="e">
        <f>IF(A491&lt;&gt;"",IF(AND(#REF!="Padrão",$H$4=#REF!),BDI!$B$17,IF(AND(#REF!="Padrão",$H$4=#REF!),BDI!#REF!,IF(AND(#REF!="Diferenciado",$H$4=#REF!),BDI!$E$17,IF(AND(#REF!="Diferenciado",$H$4=#REF!),BDI!#REF!,IF(#REF!="ZERO",0))))),"")</f>
        <v>#REF!</v>
      </c>
      <c r="H491" s="139" t="str">
        <f t="shared" si="22"/>
        <v/>
      </c>
      <c r="I491" s="137" t="str">
        <f t="shared" si="23"/>
        <v/>
      </c>
    </row>
    <row r="492" spans="1:9" hidden="1" x14ac:dyDescent="0.25">
      <c r="A492" s="114" t="s">
        <v>2179</v>
      </c>
      <c r="B492" s="115" t="s">
        <v>2180</v>
      </c>
      <c r="C492" s="116" t="s">
        <v>112</v>
      </c>
      <c r="D492" s="116">
        <v>0</v>
      </c>
      <c r="E492" s="136" t="s">
        <v>572</v>
      </c>
      <c r="F492" s="137" t="str">
        <f t="shared" si="21"/>
        <v/>
      </c>
      <c r="G492" s="138" t="e">
        <f>IF(A492&lt;&gt;"",IF(AND(#REF!="Padrão",$H$4=#REF!),BDI!$B$17,IF(AND(#REF!="Padrão",$H$4=#REF!),BDI!#REF!,IF(AND(#REF!="Diferenciado",$H$4=#REF!),BDI!$E$17,IF(AND(#REF!="Diferenciado",$H$4=#REF!),BDI!#REF!,IF(#REF!="ZERO",0))))),"")</f>
        <v>#REF!</v>
      </c>
      <c r="H492" s="139" t="str">
        <f t="shared" si="22"/>
        <v/>
      </c>
      <c r="I492" s="137" t="str">
        <f t="shared" si="23"/>
        <v/>
      </c>
    </row>
    <row r="493" spans="1:9" hidden="1" x14ac:dyDescent="0.25">
      <c r="A493" s="114" t="s">
        <v>2181</v>
      </c>
      <c r="B493" s="115" t="s">
        <v>2182</v>
      </c>
      <c r="C493" s="116" t="s">
        <v>112</v>
      </c>
      <c r="D493" s="116">
        <v>0</v>
      </c>
      <c r="E493" s="136" t="s">
        <v>572</v>
      </c>
      <c r="F493" s="137" t="str">
        <f t="shared" si="21"/>
        <v/>
      </c>
      <c r="G493" s="138" t="e">
        <f>IF(A493&lt;&gt;"",IF(AND(#REF!="Padrão",$H$4=#REF!),BDI!$B$17,IF(AND(#REF!="Padrão",$H$4=#REF!),BDI!#REF!,IF(AND(#REF!="Diferenciado",$H$4=#REF!),BDI!$E$17,IF(AND(#REF!="Diferenciado",$H$4=#REF!),BDI!#REF!,IF(#REF!="ZERO",0))))),"")</f>
        <v>#REF!</v>
      </c>
      <c r="H493" s="139" t="str">
        <f t="shared" si="22"/>
        <v/>
      </c>
      <c r="I493" s="137" t="str">
        <f t="shared" si="23"/>
        <v/>
      </c>
    </row>
    <row r="494" spans="1:9" hidden="1" x14ac:dyDescent="0.25">
      <c r="A494" s="114" t="s">
        <v>2183</v>
      </c>
      <c r="B494" s="115" t="s">
        <v>2184</v>
      </c>
      <c r="C494" s="116" t="s">
        <v>112</v>
      </c>
      <c r="D494" s="116">
        <v>0</v>
      </c>
      <c r="E494" s="136">
        <f ca="1">OFFSET(INDEX(Composições!A:J,MATCH(Orçamentária!A494,Composições!A:A,0),8),2,0)</f>
        <v>1259.0666666666666</v>
      </c>
      <c r="F494" s="137">
        <f t="shared" ca="1" si="21"/>
        <v>0</v>
      </c>
      <c r="G494" s="138" t="e">
        <f>IF(A494&lt;&gt;"",IF(AND(#REF!="Padrão",$H$4=#REF!),BDI!$B$17,IF(AND(#REF!="Padrão",$H$4=#REF!),BDI!#REF!,IF(AND(#REF!="Diferenciado",$H$4=#REF!),BDI!$E$17,IF(AND(#REF!="Diferenciado",$H$4=#REF!),BDI!#REF!,IF(#REF!="ZERO",0))))),"")</f>
        <v>#REF!</v>
      </c>
      <c r="H494" s="139" t="e">
        <f t="shared" ca="1" si="22"/>
        <v>#REF!</v>
      </c>
      <c r="I494" s="137" t="e">
        <f t="shared" ca="1" si="23"/>
        <v>#REF!</v>
      </c>
    </row>
    <row r="495" spans="1:9" hidden="1" x14ac:dyDescent="0.25">
      <c r="A495" s="114" t="s">
        <v>2185</v>
      </c>
      <c r="B495" s="115" t="s">
        <v>2186</v>
      </c>
      <c r="C495" s="116" t="s">
        <v>94</v>
      </c>
      <c r="D495" s="116">
        <v>0</v>
      </c>
      <c r="E495" s="136">
        <f ca="1">OFFSET(INDEX(Composições!A:J,MATCH(Orçamentária!A495,Composições!A:A,0),8),2,0)</f>
        <v>2.8879999999999999</v>
      </c>
      <c r="F495" s="137">
        <f t="shared" ca="1" si="21"/>
        <v>0</v>
      </c>
      <c r="G495" s="138" t="e">
        <f>IF(A495&lt;&gt;"",IF(AND(#REF!="Padrão",$H$4=#REF!),BDI!$B$17,IF(AND(#REF!="Padrão",$H$4=#REF!),BDI!#REF!,IF(AND(#REF!="Diferenciado",$H$4=#REF!),BDI!$E$17,IF(AND(#REF!="Diferenciado",$H$4=#REF!),BDI!#REF!,IF(#REF!="ZERO",0))))),"")</f>
        <v>#REF!</v>
      </c>
      <c r="H495" s="139" t="e">
        <f t="shared" ca="1" si="22"/>
        <v>#REF!</v>
      </c>
      <c r="I495" s="137" t="e">
        <f t="shared" ca="1" si="23"/>
        <v>#REF!</v>
      </c>
    </row>
    <row r="496" spans="1:9" hidden="1" x14ac:dyDescent="0.25">
      <c r="A496" s="114" t="s">
        <v>2187</v>
      </c>
      <c r="B496" s="115" t="s">
        <v>2188</v>
      </c>
      <c r="C496" s="116" t="s">
        <v>94</v>
      </c>
      <c r="D496" s="116">
        <v>0</v>
      </c>
      <c r="E496" s="136">
        <f ca="1">OFFSET(INDEX(Composições!A:J,MATCH(Orçamentária!A496,Composições!A:A,0),8),2,0)</f>
        <v>0</v>
      </c>
      <c r="F496" s="137">
        <f t="shared" ca="1" si="21"/>
        <v>0</v>
      </c>
      <c r="G496" s="138" t="e">
        <f>IF(A496&lt;&gt;"",IF(AND(#REF!="Padrão",$H$4=#REF!),BDI!$B$17,IF(AND(#REF!="Padrão",$H$4=#REF!),BDI!#REF!,IF(AND(#REF!="Diferenciado",$H$4=#REF!),BDI!$E$17,IF(AND(#REF!="Diferenciado",$H$4=#REF!),BDI!#REF!,IF(#REF!="ZERO",0))))),"")</f>
        <v>#REF!</v>
      </c>
      <c r="H496" s="139" t="e">
        <f t="shared" ca="1" si="22"/>
        <v>#REF!</v>
      </c>
      <c r="I496" s="137" t="e">
        <f t="shared" ca="1" si="23"/>
        <v>#REF!</v>
      </c>
    </row>
    <row r="497" spans="1:9" hidden="1" x14ac:dyDescent="0.25">
      <c r="A497" s="114" t="s">
        <v>2189</v>
      </c>
      <c r="B497" s="115" t="s">
        <v>2190</v>
      </c>
      <c r="C497" s="116" t="s">
        <v>94</v>
      </c>
      <c r="D497" s="116">
        <v>0</v>
      </c>
      <c r="E497" s="136" t="s">
        <v>572</v>
      </c>
      <c r="F497" s="137" t="str">
        <f t="shared" si="21"/>
        <v/>
      </c>
      <c r="G497" s="138" t="e">
        <f>IF(A497&lt;&gt;"",IF(AND(#REF!="Padrão",$H$4=#REF!),BDI!$B$17,IF(AND(#REF!="Padrão",$H$4=#REF!),BDI!#REF!,IF(AND(#REF!="Diferenciado",$H$4=#REF!),BDI!$E$17,IF(AND(#REF!="Diferenciado",$H$4=#REF!),BDI!#REF!,IF(#REF!="ZERO",0))))),"")</f>
        <v>#REF!</v>
      </c>
      <c r="H497" s="139" t="str">
        <f t="shared" si="22"/>
        <v/>
      </c>
      <c r="I497" s="137" t="str">
        <f t="shared" si="23"/>
        <v/>
      </c>
    </row>
    <row r="498" spans="1:9" hidden="1" x14ac:dyDescent="0.25">
      <c r="A498" s="114" t="s">
        <v>2191</v>
      </c>
      <c r="B498" s="115" t="s">
        <v>2192</v>
      </c>
      <c r="C498" s="116" t="s">
        <v>94</v>
      </c>
      <c r="D498" s="116">
        <v>0</v>
      </c>
      <c r="E498" s="136" t="s">
        <v>572</v>
      </c>
      <c r="F498" s="137" t="str">
        <f t="shared" si="21"/>
        <v/>
      </c>
      <c r="G498" s="138" t="e">
        <f>IF(A498&lt;&gt;"",IF(AND(#REF!="Padrão",$H$4=#REF!),BDI!$B$17,IF(AND(#REF!="Padrão",$H$4=#REF!),BDI!#REF!,IF(AND(#REF!="Diferenciado",$H$4=#REF!),BDI!$E$17,IF(AND(#REF!="Diferenciado",$H$4=#REF!),BDI!#REF!,IF(#REF!="ZERO",0))))),"")</f>
        <v>#REF!</v>
      </c>
      <c r="H498" s="139" t="str">
        <f t="shared" si="22"/>
        <v/>
      </c>
      <c r="I498" s="137" t="str">
        <f t="shared" si="23"/>
        <v/>
      </c>
    </row>
    <row r="499" spans="1:9" hidden="1" x14ac:dyDescent="0.25">
      <c r="A499" s="114" t="s">
        <v>2193</v>
      </c>
      <c r="B499" s="115" t="s">
        <v>2194</v>
      </c>
      <c r="C499" s="116" t="s">
        <v>96</v>
      </c>
      <c r="D499" s="116">
        <v>0</v>
      </c>
      <c r="E499" s="136">
        <f ca="1">OFFSET(INDEX(Composições!A:J,MATCH(Orçamentária!A499,Composições!A:A,0),8),2,0)</f>
        <v>25.5075</v>
      </c>
      <c r="F499" s="137">
        <f t="shared" ca="1" si="21"/>
        <v>0</v>
      </c>
      <c r="G499" s="138" t="e">
        <f>IF(A499&lt;&gt;"",IF(AND(#REF!="Padrão",$H$4=#REF!),BDI!$B$17,IF(AND(#REF!="Padrão",$H$4=#REF!),BDI!#REF!,IF(AND(#REF!="Diferenciado",$H$4=#REF!),BDI!$E$17,IF(AND(#REF!="Diferenciado",$H$4=#REF!),BDI!#REF!,IF(#REF!="ZERO",0))))),"")</f>
        <v>#REF!</v>
      </c>
      <c r="H499" s="139" t="e">
        <f t="shared" ca="1" si="22"/>
        <v>#REF!</v>
      </c>
      <c r="I499" s="137" t="e">
        <f t="shared" ca="1" si="23"/>
        <v>#REF!</v>
      </c>
    </row>
    <row r="500" spans="1:9" hidden="1" x14ac:dyDescent="0.25">
      <c r="A500" s="114" t="s">
        <v>2195</v>
      </c>
      <c r="B500" s="115" t="s">
        <v>2196</v>
      </c>
      <c r="C500" s="116" t="s">
        <v>96</v>
      </c>
      <c r="D500" s="116">
        <v>0</v>
      </c>
      <c r="E500" s="136" t="s">
        <v>572</v>
      </c>
      <c r="F500" s="137" t="str">
        <f t="shared" si="21"/>
        <v/>
      </c>
      <c r="G500" s="138" t="e">
        <f>IF(A500&lt;&gt;"",IF(AND(#REF!="Padrão",$H$4=#REF!),BDI!$B$17,IF(AND(#REF!="Padrão",$H$4=#REF!),BDI!#REF!,IF(AND(#REF!="Diferenciado",$H$4=#REF!),BDI!$E$17,IF(AND(#REF!="Diferenciado",$H$4=#REF!),BDI!#REF!,IF(#REF!="ZERO",0))))),"")</f>
        <v>#REF!</v>
      </c>
      <c r="H500" s="139" t="str">
        <f t="shared" si="22"/>
        <v/>
      </c>
      <c r="I500" s="137" t="str">
        <f t="shared" si="23"/>
        <v/>
      </c>
    </row>
    <row r="501" spans="1:9" hidden="1" x14ac:dyDescent="0.25">
      <c r="A501" s="114" t="s">
        <v>2197</v>
      </c>
      <c r="B501" s="115" t="s">
        <v>2198</v>
      </c>
      <c r="C501" s="116" t="s">
        <v>96</v>
      </c>
      <c r="D501" s="116">
        <v>0</v>
      </c>
      <c r="E501" s="136">
        <f ca="1">OFFSET(INDEX(Composições!A:J,MATCH(Orçamentária!A501,Composições!A:A,0),8),2,0)</f>
        <v>40.023499999999999</v>
      </c>
      <c r="F501" s="137">
        <f t="shared" ca="1" si="21"/>
        <v>0</v>
      </c>
      <c r="G501" s="138" t="e">
        <f>IF(A501&lt;&gt;"",IF(AND(#REF!="Padrão",$H$4=#REF!),BDI!$B$17,IF(AND(#REF!="Padrão",$H$4=#REF!),BDI!#REF!,IF(AND(#REF!="Diferenciado",$H$4=#REF!),BDI!$E$17,IF(AND(#REF!="Diferenciado",$H$4=#REF!),BDI!#REF!,IF(#REF!="ZERO",0))))),"")</f>
        <v>#REF!</v>
      </c>
      <c r="H501" s="139" t="e">
        <f t="shared" ca="1" si="22"/>
        <v>#REF!</v>
      </c>
      <c r="I501" s="137" t="e">
        <f t="shared" ca="1" si="23"/>
        <v>#REF!</v>
      </c>
    </row>
    <row r="502" spans="1:9" hidden="1" x14ac:dyDescent="0.25">
      <c r="A502" s="114" t="s">
        <v>2199</v>
      </c>
      <c r="B502" s="115" t="s">
        <v>2200</v>
      </c>
      <c r="C502" s="116" t="s">
        <v>96</v>
      </c>
      <c r="D502" s="116">
        <v>0</v>
      </c>
      <c r="E502" s="136" t="s">
        <v>572</v>
      </c>
      <c r="F502" s="137" t="str">
        <f t="shared" si="21"/>
        <v/>
      </c>
      <c r="G502" s="138" t="e">
        <f>IF(A502&lt;&gt;"",IF(AND(#REF!="Padrão",$H$4=#REF!),BDI!$B$17,IF(AND(#REF!="Padrão",$H$4=#REF!),BDI!#REF!,IF(AND(#REF!="Diferenciado",$H$4=#REF!),BDI!$E$17,IF(AND(#REF!="Diferenciado",$H$4=#REF!),BDI!#REF!,IF(#REF!="ZERO",0))))),"")</f>
        <v>#REF!</v>
      </c>
      <c r="H502" s="139" t="str">
        <f t="shared" si="22"/>
        <v/>
      </c>
      <c r="I502" s="137" t="str">
        <f t="shared" si="23"/>
        <v/>
      </c>
    </row>
    <row r="503" spans="1:9" hidden="1" x14ac:dyDescent="0.25">
      <c r="A503" s="114" t="s">
        <v>2201</v>
      </c>
      <c r="B503" s="115" t="s">
        <v>2202</v>
      </c>
      <c r="C503" s="116" t="s">
        <v>96</v>
      </c>
      <c r="D503" s="116">
        <v>0</v>
      </c>
      <c r="E503" s="136">
        <f ca="1">OFFSET(INDEX(Composições!A:J,MATCH(Orçamentária!A503,Composições!A:A,0),8),2,0)</f>
        <v>49.684999999999995</v>
      </c>
      <c r="F503" s="137">
        <f t="shared" ca="1" si="21"/>
        <v>0</v>
      </c>
      <c r="G503" s="138" t="e">
        <f>IF(A503&lt;&gt;"",IF(AND(#REF!="Padrão",$H$4=#REF!),BDI!$B$17,IF(AND(#REF!="Padrão",$H$4=#REF!),BDI!#REF!,IF(AND(#REF!="Diferenciado",$H$4=#REF!),BDI!$E$17,IF(AND(#REF!="Diferenciado",$H$4=#REF!),BDI!#REF!,IF(#REF!="ZERO",0))))),"")</f>
        <v>#REF!</v>
      </c>
      <c r="H503" s="139" t="e">
        <f t="shared" ca="1" si="22"/>
        <v>#REF!</v>
      </c>
      <c r="I503" s="137" t="e">
        <f t="shared" ca="1" si="23"/>
        <v>#REF!</v>
      </c>
    </row>
    <row r="504" spans="1:9" hidden="1" x14ac:dyDescent="0.25">
      <c r="A504" s="114" t="s">
        <v>2203</v>
      </c>
      <c r="B504" s="115" t="s">
        <v>2204</v>
      </c>
      <c r="C504" s="116" t="s">
        <v>96</v>
      </c>
      <c r="D504" s="116">
        <v>0</v>
      </c>
      <c r="E504" s="136" t="s">
        <v>572</v>
      </c>
      <c r="F504" s="137" t="str">
        <f t="shared" si="21"/>
        <v/>
      </c>
      <c r="G504" s="138" t="e">
        <f>IF(A504&lt;&gt;"",IF(AND(#REF!="Padrão",$H$4=#REF!),BDI!$B$17,IF(AND(#REF!="Padrão",$H$4=#REF!),BDI!#REF!,IF(AND(#REF!="Diferenciado",$H$4=#REF!),BDI!$E$17,IF(AND(#REF!="Diferenciado",$H$4=#REF!),BDI!#REF!,IF(#REF!="ZERO",0))))),"")</f>
        <v>#REF!</v>
      </c>
      <c r="H504" s="139" t="str">
        <f t="shared" si="22"/>
        <v/>
      </c>
      <c r="I504" s="137" t="str">
        <f t="shared" si="23"/>
        <v/>
      </c>
    </row>
    <row r="505" spans="1:9" hidden="1" x14ac:dyDescent="0.25">
      <c r="A505" s="114" t="s">
        <v>2205</v>
      </c>
      <c r="B505" s="115" t="s">
        <v>2206</v>
      </c>
      <c r="C505" s="116" t="s">
        <v>94</v>
      </c>
      <c r="D505" s="116">
        <v>0</v>
      </c>
      <c r="E505" s="136">
        <f ca="1">OFFSET(INDEX(Composições!A:J,MATCH(Orçamentária!A505,Composições!A:A,0),8),2,0)</f>
        <v>14.216275</v>
      </c>
      <c r="F505" s="137">
        <f t="shared" ca="1" si="21"/>
        <v>0</v>
      </c>
      <c r="G505" s="138" t="e">
        <f>IF(A505&lt;&gt;"",IF(AND(#REF!="Padrão",$H$4=#REF!),BDI!$B$17,IF(AND(#REF!="Padrão",$H$4=#REF!),BDI!#REF!,IF(AND(#REF!="Diferenciado",$H$4=#REF!),BDI!$E$17,IF(AND(#REF!="Diferenciado",$H$4=#REF!),BDI!#REF!,IF(#REF!="ZERO",0))))),"")</f>
        <v>#REF!</v>
      </c>
      <c r="H505" s="139" t="e">
        <f t="shared" ca="1" si="22"/>
        <v>#REF!</v>
      </c>
      <c r="I505" s="137" t="e">
        <f t="shared" ca="1" si="23"/>
        <v>#REF!</v>
      </c>
    </row>
    <row r="506" spans="1:9" hidden="1" x14ac:dyDescent="0.25">
      <c r="A506" s="114" t="s">
        <v>2207</v>
      </c>
      <c r="B506" s="115" t="s">
        <v>2208</v>
      </c>
      <c r="C506" s="116" t="s">
        <v>94</v>
      </c>
      <c r="D506" s="116">
        <v>0</v>
      </c>
      <c r="E506" s="136">
        <f ca="1">OFFSET(INDEX(Composições!A:J,MATCH(Orçamentária!A506,Composições!A:A,0),8),2,0)</f>
        <v>18.078500000000002</v>
      </c>
      <c r="F506" s="137">
        <f t="shared" ca="1" si="21"/>
        <v>0</v>
      </c>
      <c r="G506" s="138" t="e">
        <f>IF(A506&lt;&gt;"",IF(AND(#REF!="Padrão",$H$4=#REF!),BDI!$B$17,IF(AND(#REF!="Padrão",$H$4=#REF!),BDI!#REF!,IF(AND(#REF!="Diferenciado",$H$4=#REF!),BDI!$E$17,IF(AND(#REF!="Diferenciado",$H$4=#REF!),BDI!#REF!,IF(#REF!="ZERO",0))))),"")</f>
        <v>#REF!</v>
      </c>
      <c r="H506" s="139" t="e">
        <f t="shared" ca="1" si="22"/>
        <v>#REF!</v>
      </c>
      <c r="I506" s="137" t="e">
        <f t="shared" ca="1" si="23"/>
        <v>#REF!</v>
      </c>
    </row>
    <row r="507" spans="1:9" hidden="1" x14ac:dyDescent="0.25">
      <c r="A507" s="114" t="s">
        <v>2209</v>
      </c>
      <c r="B507" s="115" t="s">
        <v>2210</v>
      </c>
      <c r="C507" s="116" t="s">
        <v>94</v>
      </c>
      <c r="D507" s="116">
        <v>0</v>
      </c>
      <c r="E507" s="136">
        <f ca="1">OFFSET(INDEX(Composições!A:J,MATCH(Orçamentária!A507,Composições!A:A,0),8),2,0)</f>
        <v>20.215049999999998</v>
      </c>
      <c r="F507" s="137">
        <f t="shared" ca="1" si="21"/>
        <v>0</v>
      </c>
      <c r="G507" s="138" t="e">
        <f>IF(A507&lt;&gt;"",IF(AND(#REF!="Padrão",$H$4=#REF!),BDI!$B$17,IF(AND(#REF!="Padrão",$H$4=#REF!),BDI!#REF!,IF(AND(#REF!="Diferenciado",$H$4=#REF!),BDI!$E$17,IF(AND(#REF!="Diferenciado",$H$4=#REF!),BDI!#REF!,IF(#REF!="ZERO",0))))),"")</f>
        <v>#REF!</v>
      </c>
      <c r="H507" s="139" t="e">
        <f t="shared" ca="1" si="22"/>
        <v>#REF!</v>
      </c>
      <c r="I507" s="137" t="e">
        <f t="shared" ca="1" si="23"/>
        <v>#REF!</v>
      </c>
    </row>
    <row r="508" spans="1:9" hidden="1" x14ac:dyDescent="0.25">
      <c r="A508" s="114" t="s">
        <v>2211</v>
      </c>
      <c r="B508" s="115" t="s">
        <v>2212</v>
      </c>
      <c r="C508" s="116" t="s">
        <v>94</v>
      </c>
      <c r="D508" s="116">
        <v>0</v>
      </c>
      <c r="E508" s="136">
        <f ca="1">OFFSET(INDEX(Composições!A:J,MATCH(Orçamentária!A508,Composições!A:A,0),8),2,0)</f>
        <v>29.829524999999997</v>
      </c>
      <c r="F508" s="137">
        <f t="shared" ca="1" si="21"/>
        <v>0</v>
      </c>
      <c r="G508" s="138" t="e">
        <f>IF(A508&lt;&gt;"",IF(AND(#REF!="Padrão",$H$4=#REF!),BDI!$B$17,IF(AND(#REF!="Padrão",$H$4=#REF!),BDI!#REF!,IF(AND(#REF!="Diferenciado",$H$4=#REF!),BDI!$E$17,IF(AND(#REF!="Diferenciado",$H$4=#REF!),BDI!#REF!,IF(#REF!="ZERO",0))))),"")</f>
        <v>#REF!</v>
      </c>
      <c r="H508" s="139" t="e">
        <f t="shared" ca="1" si="22"/>
        <v>#REF!</v>
      </c>
      <c r="I508" s="137" t="e">
        <f t="shared" ca="1" si="23"/>
        <v>#REF!</v>
      </c>
    </row>
    <row r="509" spans="1:9" hidden="1" x14ac:dyDescent="0.25">
      <c r="A509" s="114" t="s">
        <v>2213</v>
      </c>
      <c r="B509" s="115" t="s">
        <v>2214</v>
      </c>
      <c r="C509" s="116" t="s">
        <v>94</v>
      </c>
      <c r="D509" s="116">
        <v>0</v>
      </c>
      <c r="E509" s="136">
        <f ca="1">OFFSET(INDEX(Composições!A:J,MATCH(Orçamentária!A509,Composições!A:A,0),8),2,0)</f>
        <v>5.8344249999999995</v>
      </c>
      <c r="F509" s="137">
        <f t="shared" ca="1" si="21"/>
        <v>0</v>
      </c>
      <c r="G509" s="138" t="e">
        <f>IF(A509&lt;&gt;"",IF(AND(#REF!="Padrão",$H$4=#REF!),BDI!$B$17,IF(AND(#REF!="Padrão",$H$4=#REF!),BDI!#REF!,IF(AND(#REF!="Diferenciado",$H$4=#REF!),BDI!$E$17,IF(AND(#REF!="Diferenciado",$H$4=#REF!),BDI!#REF!,IF(#REF!="ZERO",0))))),"")</f>
        <v>#REF!</v>
      </c>
      <c r="H509" s="139" t="e">
        <f t="shared" ca="1" si="22"/>
        <v>#REF!</v>
      </c>
      <c r="I509" s="137" t="e">
        <f t="shared" ca="1" si="23"/>
        <v>#REF!</v>
      </c>
    </row>
    <row r="510" spans="1:9" hidden="1" x14ac:dyDescent="0.25">
      <c r="A510" s="114" t="s">
        <v>2215</v>
      </c>
      <c r="B510" s="115" t="s">
        <v>2216</v>
      </c>
      <c r="C510" s="116" t="s">
        <v>42</v>
      </c>
      <c r="D510" s="116">
        <v>0</v>
      </c>
      <c r="E510" s="136">
        <f ca="1">OFFSET(INDEX(Composições!A:J,MATCH(Orçamentária!A510,Composições!A:A,0),8),2,0)</f>
        <v>12.378499999999999</v>
      </c>
      <c r="F510" s="137">
        <f t="shared" ca="1" si="21"/>
        <v>0</v>
      </c>
      <c r="G510" s="138" t="e">
        <f>IF(A510&lt;&gt;"",IF(AND(#REF!="Padrão",$H$4=#REF!),BDI!$B$17,IF(AND(#REF!="Padrão",$H$4=#REF!),BDI!#REF!,IF(AND(#REF!="Diferenciado",$H$4=#REF!),BDI!$E$17,IF(AND(#REF!="Diferenciado",$H$4=#REF!),BDI!#REF!,IF(#REF!="ZERO",0))))),"")</f>
        <v>#REF!</v>
      </c>
      <c r="H510" s="139" t="e">
        <f t="shared" ca="1" si="22"/>
        <v>#REF!</v>
      </c>
      <c r="I510" s="137" t="e">
        <f t="shared" ca="1" si="23"/>
        <v>#REF!</v>
      </c>
    </row>
    <row r="511" spans="1:9" hidden="1" x14ac:dyDescent="0.25">
      <c r="A511" s="114" t="s">
        <v>2217</v>
      </c>
      <c r="B511" s="115" t="s">
        <v>2218</v>
      </c>
      <c r="C511" s="116" t="s">
        <v>94</v>
      </c>
      <c r="D511" s="116">
        <v>0</v>
      </c>
      <c r="E511" s="136">
        <f ca="1">OFFSET(INDEX(Composições!A:J,MATCH(Orçamentária!A511,Composições!A:A,0),8),2,0)</f>
        <v>7.1341200000000002</v>
      </c>
      <c r="F511" s="137">
        <f t="shared" ca="1" si="21"/>
        <v>0</v>
      </c>
      <c r="G511" s="138" t="e">
        <f>IF(A511&lt;&gt;"",IF(AND(#REF!="Padrão",$H$4=#REF!),BDI!$B$17,IF(AND(#REF!="Padrão",$H$4=#REF!),BDI!#REF!,IF(AND(#REF!="Diferenciado",$H$4=#REF!),BDI!$E$17,IF(AND(#REF!="Diferenciado",$H$4=#REF!),BDI!#REF!,IF(#REF!="ZERO",0))))),"")</f>
        <v>#REF!</v>
      </c>
      <c r="H511" s="139" t="e">
        <f t="shared" ca="1" si="22"/>
        <v>#REF!</v>
      </c>
      <c r="I511" s="137" t="e">
        <f t="shared" ca="1" si="23"/>
        <v>#REF!</v>
      </c>
    </row>
    <row r="512" spans="1:9" hidden="1" x14ac:dyDescent="0.25">
      <c r="A512" s="114" t="s">
        <v>2219</v>
      </c>
      <c r="B512" s="115" t="s">
        <v>2220</v>
      </c>
      <c r="C512" s="116" t="s">
        <v>94</v>
      </c>
      <c r="D512" s="116">
        <v>0</v>
      </c>
      <c r="E512" s="136">
        <f ca="1">OFFSET(INDEX(Composições!A:J,MATCH(Orçamentária!A512,Composições!A:A,0),8),2,0)</f>
        <v>10.7578</v>
      </c>
      <c r="F512" s="137">
        <f t="shared" ca="1" si="21"/>
        <v>0</v>
      </c>
      <c r="G512" s="138" t="e">
        <f>IF(A512&lt;&gt;"",IF(AND(#REF!="Padrão",$H$4=#REF!),BDI!$B$17,IF(AND(#REF!="Padrão",$H$4=#REF!),BDI!#REF!,IF(AND(#REF!="Diferenciado",$H$4=#REF!),BDI!$E$17,IF(AND(#REF!="Diferenciado",$H$4=#REF!),BDI!#REF!,IF(#REF!="ZERO",0))))),"")</f>
        <v>#REF!</v>
      </c>
      <c r="H512" s="139" t="e">
        <f t="shared" ca="1" si="22"/>
        <v>#REF!</v>
      </c>
      <c r="I512" s="137" t="e">
        <f t="shared" ca="1" si="23"/>
        <v>#REF!</v>
      </c>
    </row>
    <row r="513" spans="1:9" hidden="1" x14ac:dyDescent="0.25">
      <c r="A513" s="114" t="s">
        <v>2221</v>
      </c>
      <c r="B513" s="115" t="s">
        <v>2222</v>
      </c>
      <c r="C513" s="116" t="s">
        <v>94</v>
      </c>
      <c r="D513" s="116">
        <v>0</v>
      </c>
      <c r="E513" s="136">
        <f ca="1">OFFSET(INDEX(Composições!A:J,MATCH(Orçamentária!A513,Composições!A:A,0),8),2,0)</f>
        <v>12.569640000000001</v>
      </c>
      <c r="F513" s="137">
        <f t="shared" ca="1" si="21"/>
        <v>0</v>
      </c>
      <c r="G513" s="138" t="e">
        <f>IF(A513&lt;&gt;"",IF(AND(#REF!="Padrão",$H$4=#REF!),BDI!$B$17,IF(AND(#REF!="Padrão",$H$4=#REF!),BDI!#REF!,IF(AND(#REF!="Diferenciado",$H$4=#REF!),BDI!$E$17,IF(AND(#REF!="Diferenciado",$H$4=#REF!),BDI!#REF!,IF(#REF!="ZERO",0))))),"")</f>
        <v>#REF!</v>
      </c>
      <c r="H513" s="139" t="e">
        <f t="shared" ca="1" si="22"/>
        <v>#REF!</v>
      </c>
      <c r="I513" s="137" t="e">
        <f t="shared" ca="1" si="23"/>
        <v>#REF!</v>
      </c>
    </row>
    <row r="514" spans="1:9" hidden="1" x14ac:dyDescent="0.25">
      <c r="A514" s="114" t="s">
        <v>2223</v>
      </c>
      <c r="B514" s="115" t="s">
        <v>2224</v>
      </c>
      <c r="C514" s="116" t="s">
        <v>94</v>
      </c>
      <c r="D514" s="116">
        <v>0</v>
      </c>
      <c r="E514" s="136">
        <f ca="1">OFFSET(INDEX(Composições!A:J,MATCH(Orçamentária!A514,Composições!A:A,0),8),2,0)</f>
        <v>5.4355199999999995</v>
      </c>
      <c r="F514" s="137">
        <f t="shared" ca="1" si="21"/>
        <v>0</v>
      </c>
      <c r="G514" s="138" t="e">
        <f>IF(A514&lt;&gt;"",IF(AND(#REF!="Padrão",$H$4=#REF!),BDI!$B$17,IF(AND(#REF!="Padrão",$H$4=#REF!),BDI!#REF!,IF(AND(#REF!="Diferenciado",$H$4=#REF!),BDI!$E$17,IF(AND(#REF!="Diferenciado",$H$4=#REF!),BDI!#REF!,IF(#REF!="ZERO",0))))),"")</f>
        <v>#REF!</v>
      </c>
      <c r="H514" s="139" t="e">
        <f t="shared" ca="1" si="22"/>
        <v>#REF!</v>
      </c>
      <c r="I514" s="137" t="e">
        <f t="shared" ca="1" si="23"/>
        <v>#REF!</v>
      </c>
    </row>
    <row r="515" spans="1:9" hidden="1" x14ac:dyDescent="0.25">
      <c r="A515" s="114" t="s">
        <v>2225</v>
      </c>
      <c r="B515" s="115" t="s">
        <v>2226</v>
      </c>
      <c r="C515" s="116" t="s">
        <v>94</v>
      </c>
      <c r="D515" s="116">
        <v>0</v>
      </c>
      <c r="E515" s="136">
        <f ca="1">OFFSET(INDEX(Composições!A:J,MATCH(Orçamentária!A515,Composições!A:A,0),8),2,0)</f>
        <v>8.0400399999999994</v>
      </c>
      <c r="F515" s="137">
        <f t="shared" ca="1" si="21"/>
        <v>0</v>
      </c>
      <c r="G515" s="138" t="e">
        <f>IF(A515&lt;&gt;"",IF(AND(#REF!="Padrão",$H$4=#REF!),BDI!$B$17,IF(AND(#REF!="Padrão",$H$4=#REF!),BDI!#REF!,IF(AND(#REF!="Diferenciado",$H$4=#REF!),BDI!$E$17,IF(AND(#REF!="Diferenciado",$H$4=#REF!),BDI!#REF!,IF(#REF!="ZERO",0))))),"")</f>
        <v>#REF!</v>
      </c>
      <c r="H515" s="139" t="e">
        <f t="shared" ca="1" si="22"/>
        <v>#REF!</v>
      </c>
      <c r="I515" s="137" t="e">
        <f t="shared" ca="1" si="23"/>
        <v>#REF!</v>
      </c>
    </row>
    <row r="516" spans="1:9" hidden="1" x14ac:dyDescent="0.25">
      <c r="A516" s="114" t="s">
        <v>2227</v>
      </c>
      <c r="B516" s="115" t="s">
        <v>2228</v>
      </c>
      <c r="C516" s="116" t="s">
        <v>94</v>
      </c>
      <c r="D516" s="116">
        <v>0</v>
      </c>
      <c r="E516" s="136">
        <f ca="1">OFFSET(INDEX(Composições!A:J,MATCH(Orçamentária!A516,Composições!A:A,0),8),2,0)</f>
        <v>4.5296000000000003</v>
      </c>
      <c r="F516" s="137">
        <f t="shared" ca="1" si="21"/>
        <v>0</v>
      </c>
      <c r="G516" s="138" t="e">
        <f>IF(A516&lt;&gt;"",IF(AND(#REF!="Padrão",$H$4=#REF!),BDI!$B$17,IF(AND(#REF!="Padrão",$H$4=#REF!),BDI!#REF!,IF(AND(#REF!="Diferenciado",$H$4=#REF!),BDI!$E$17,IF(AND(#REF!="Diferenciado",$H$4=#REF!),BDI!#REF!,IF(#REF!="ZERO",0))))),"")</f>
        <v>#REF!</v>
      </c>
      <c r="H516" s="139" t="e">
        <f t="shared" ca="1" si="22"/>
        <v>#REF!</v>
      </c>
      <c r="I516" s="137" t="e">
        <f t="shared" ca="1" si="23"/>
        <v>#REF!</v>
      </c>
    </row>
    <row r="517" spans="1:9" hidden="1" x14ac:dyDescent="0.25">
      <c r="A517" s="114" t="s">
        <v>2229</v>
      </c>
      <c r="B517" s="115" t="s">
        <v>2230</v>
      </c>
      <c r="C517" s="116" t="s">
        <v>94</v>
      </c>
      <c r="D517" s="116">
        <v>0</v>
      </c>
      <c r="E517" s="136">
        <f ca="1">OFFSET(INDEX(Composições!A:J,MATCH(Orçamentária!A517,Composições!A:A,0),8),2,0)</f>
        <v>8.9459599999999995</v>
      </c>
      <c r="F517" s="137">
        <f t="shared" ca="1" si="21"/>
        <v>0</v>
      </c>
      <c r="G517" s="138" t="e">
        <f>IF(A517&lt;&gt;"",IF(AND(#REF!="Padrão",$H$4=#REF!),BDI!$B$17,IF(AND(#REF!="Padrão",$H$4=#REF!),BDI!#REF!,IF(AND(#REF!="Diferenciado",$H$4=#REF!),BDI!$E$17,IF(AND(#REF!="Diferenciado",$H$4=#REF!),BDI!#REF!,IF(#REF!="ZERO",0))))),"")</f>
        <v>#REF!</v>
      </c>
      <c r="H517" s="139" t="e">
        <f t="shared" ca="1" si="22"/>
        <v>#REF!</v>
      </c>
      <c r="I517" s="137" t="e">
        <f t="shared" ca="1" si="23"/>
        <v>#REF!</v>
      </c>
    </row>
    <row r="518" spans="1:9" hidden="1" x14ac:dyDescent="0.25">
      <c r="A518" s="114" t="s">
        <v>2231</v>
      </c>
      <c r="B518" s="115" t="s">
        <v>2232</v>
      </c>
      <c r="C518" s="116" t="s">
        <v>94</v>
      </c>
      <c r="D518" s="116">
        <v>0</v>
      </c>
      <c r="E518" s="136">
        <f ca="1">OFFSET(INDEX(Composições!A:J,MATCH(Orçamentária!A518,Composições!A:A,0),8),2,0)</f>
        <v>6.2282000000000002</v>
      </c>
      <c r="F518" s="137">
        <f t="shared" ca="1" si="21"/>
        <v>0</v>
      </c>
      <c r="G518" s="138" t="e">
        <f>IF(A518&lt;&gt;"",IF(AND(#REF!="Padrão",$H$4=#REF!),BDI!$B$17,IF(AND(#REF!="Padrão",$H$4=#REF!),BDI!#REF!,IF(AND(#REF!="Diferenciado",$H$4=#REF!),BDI!$E$17,IF(AND(#REF!="Diferenciado",$H$4=#REF!),BDI!#REF!,IF(#REF!="ZERO",0))))),"")</f>
        <v>#REF!</v>
      </c>
      <c r="H518" s="139" t="e">
        <f t="shared" ca="1" si="22"/>
        <v>#REF!</v>
      </c>
      <c r="I518" s="137" t="e">
        <f t="shared" ca="1" si="23"/>
        <v>#REF!</v>
      </c>
    </row>
    <row r="519" spans="1:9" hidden="1" x14ac:dyDescent="0.25">
      <c r="A519" s="114" t="s">
        <v>2233</v>
      </c>
      <c r="B519" s="115" t="s">
        <v>2234</v>
      </c>
      <c r="C519" s="116" t="s">
        <v>94</v>
      </c>
      <c r="D519" s="116">
        <v>0</v>
      </c>
      <c r="E519" s="136">
        <f ca="1">OFFSET(INDEX(Composições!A:J,MATCH(Orçamentária!A519,Composições!A:A,0),8),2,0)</f>
        <v>9.3989199999999986</v>
      </c>
      <c r="F519" s="137">
        <f t="shared" ref="F519:F582" ca="1" si="24">IF(ISNUMBER(E519),D519*E519,"")</f>
        <v>0</v>
      </c>
      <c r="G519" s="138" t="e">
        <f>IF(A519&lt;&gt;"",IF(AND(#REF!="Padrão",$H$4=#REF!),BDI!$B$17,IF(AND(#REF!="Padrão",$H$4=#REF!),BDI!#REF!,IF(AND(#REF!="Diferenciado",$H$4=#REF!),BDI!$E$17,IF(AND(#REF!="Diferenciado",$H$4=#REF!),BDI!#REF!,IF(#REF!="ZERO",0))))),"")</f>
        <v>#REF!</v>
      </c>
      <c r="H519" s="139" t="e">
        <f t="shared" ref="H519:H582" ca="1" si="25">IF(ISNUMBER(E519),ROUND(E519*(1+G519),2),"")</f>
        <v>#REF!</v>
      </c>
      <c r="I519" s="137" t="e">
        <f t="shared" ref="I519:I582" ca="1" si="26">IF(ISNUMBER(E519),ROUND(H519*D519,2),"")</f>
        <v>#REF!</v>
      </c>
    </row>
    <row r="520" spans="1:9" hidden="1" x14ac:dyDescent="0.25">
      <c r="A520" s="114" t="s">
        <v>2235</v>
      </c>
      <c r="B520" s="115" t="s">
        <v>2236</v>
      </c>
      <c r="C520" s="116" t="s">
        <v>94</v>
      </c>
      <c r="D520" s="116">
        <v>0</v>
      </c>
      <c r="E520" s="136" t="s">
        <v>572</v>
      </c>
      <c r="F520" s="137" t="str">
        <f t="shared" si="24"/>
        <v/>
      </c>
      <c r="G520" s="138" t="e">
        <f>IF(A520&lt;&gt;"",IF(AND(#REF!="Padrão",$H$4=#REF!),BDI!$B$17,IF(AND(#REF!="Padrão",$H$4=#REF!),BDI!#REF!,IF(AND(#REF!="Diferenciado",$H$4=#REF!),BDI!$E$17,IF(AND(#REF!="Diferenciado",$H$4=#REF!),BDI!#REF!,IF(#REF!="ZERO",0))))),"")</f>
        <v>#REF!</v>
      </c>
      <c r="H520" s="139" t="str">
        <f t="shared" si="25"/>
        <v/>
      </c>
      <c r="I520" s="137" t="str">
        <f t="shared" si="26"/>
        <v/>
      </c>
    </row>
    <row r="521" spans="1:9" hidden="1" x14ac:dyDescent="0.25">
      <c r="A521" s="114" t="s">
        <v>2237</v>
      </c>
      <c r="B521" s="115" t="s">
        <v>2238</v>
      </c>
      <c r="C521" s="116" t="s">
        <v>94</v>
      </c>
      <c r="D521" s="116">
        <v>0</v>
      </c>
      <c r="E521" s="136" t="s">
        <v>572</v>
      </c>
      <c r="F521" s="137" t="str">
        <f t="shared" si="24"/>
        <v/>
      </c>
      <c r="G521" s="138" t="e">
        <f>IF(A521&lt;&gt;"",IF(AND(#REF!="Padrão",$H$4=#REF!),BDI!$B$17,IF(AND(#REF!="Padrão",$H$4=#REF!),BDI!#REF!,IF(AND(#REF!="Diferenciado",$H$4=#REF!),BDI!$E$17,IF(AND(#REF!="Diferenciado",$H$4=#REF!),BDI!#REF!,IF(#REF!="ZERO",0))))),"")</f>
        <v>#REF!</v>
      </c>
      <c r="H521" s="139" t="str">
        <f t="shared" si="25"/>
        <v/>
      </c>
      <c r="I521" s="137" t="str">
        <f t="shared" si="26"/>
        <v/>
      </c>
    </row>
    <row r="522" spans="1:9" hidden="1" x14ac:dyDescent="0.25">
      <c r="A522" s="114" t="s">
        <v>2239</v>
      </c>
      <c r="B522" s="115" t="s">
        <v>2240</v>
      </c>
      <c r="C522" s="116" t="s">
        <v>94</v>
      </c>
      <c r="D522" s="116">
        <v>0</v>
      </c>
      <c r="E522" s="136" t="s">
        <v>572</v>
      </c>
      <c r="F522" s="137" t="str">
        <f t="shared" si="24"/>
        <v/>
      </c>
      <c r="G522" s="138" t="e">
        <f>IF(A522&lt;&gt;"",IF(AND(#REF!="Padrão",$H$4=#REF!),BDI!$B$17,IF(AND(#REF!="Padrão",$H$4=#REF!),BDI!#REF!,IF(AND(#REF!="Diferenciado",$H$4=#REF!),BDI!$E$17,IF(AND(#REF!="Diferenciado",$H$4=#REF!),BDI!#REF!,IF(#REF!="ZERO",0))))),"")</f>
        <v>#REF!</v>
      </c>
      <c r="H522" s="139" t="str">
        <f t="shared" si="25"/>
        <v/>
      </c>
      <c r="I522" s="137" t="str">
        <f t="shared" si="26"/>
        <v/>
      </c>
    </row>
    <row r="523" spans="1:9" hidden="1" x14ac:dyDescent="0.25">
      <c r="A523" s="114" t="s">
        <v>2241</v>
      </c>
      <c r="B523" s="115" t="s">
        <v>2242</v>
      </c>
      <c r="C523" s="116" t="s">
        <v>94</v>
      </c>
      <c r="D523" s="116">
        <v>0</v>
      </c>
      <c r="E523" s="136" t="s">
        <v>572</v>
      </c>
      <c r="F523" s="137" t="str">
        <f t="shared" si="24"/>
        <v/>
      </c>
      <c r="G523" s="138" t="e">
        <f>IF(A523&lt;&gt;"",IF(AND(#REF!="Padrão",$H$4=#REF!),BDI!$B$17,IF(AND(#REF!="Padrão",$H$4=#REF!),BDI!#REF!,IF(AND(#REF!="Diferenciado",$H$4=#REF!),BDI!$E$17,IF(AND(#REF!="Diferenciado",$H$4=#REF!),BDI!#REF!,IF(#REF!="ZERO",0))))),"")</f>
        <v>#REF!</v>
      </c>
      <c r="H523" s="139" t="str">
        <f t="shared" si="25"/>
        <v/>
      </c>
      <c r="I523" s="137" t="str">
        <f t="shared" si="26"/>
        <v/>
      </c>
    </row>
    <row r="524" spans="1:9" hidden="1" x14ac:dyDescent="0.25">
      <c r="A524" s="114" t="s">
        <v>2243</v>
      </c>
      <c r="B524" s="115" t="s">
        <v>2244</v>
      </c>
      <c r="C524" s="116" t="s">
        <v>94</v>
      </c>
      <c r="D524" s="116">
        <v>0</v>
      </c>
      <c r="E524" s="136" t="s">
        <v>572</v>
      </c>
      <c r="F524" s="137" t="str">
        <f t="shared" si="24"/>
        <v/>
      </c>
      <c r="G524" s="138" t="e">
        <f>IF(A524&lt;&gt;"",IF(AND(#REF!="Padrão",$H$4=#REF!),BDI!$B$17,IF(AND(#REF!="Padrão",$H$4=#REF!),BDI!#REF!,IF(AND(#REF!="Diferenciado",$H$4=#REF!),BDI!$E$17,IF(AND(#REF!="Diferenciado",$H$4=#REF!),BDI!#REF!,IF(#REF!="ZERO",0))))),"")</f>
        <v>#REF!</v>
      </c>
      <c r="H524" s="139" t="str">
        <f t="shared" si="25"/>
        <v/>
      </c>
      <c r="I524" s="137" t="str">
        <f t="shared" si="26"/>
        <v/>
      </c>
    </row>
    <row r="525" spans="1:9" hidden="1" x14ac:dyDescent="0.25">
      <c r="A525" s="114" t="s">
        <v>2245</v>
      </c>
      <c r="B525" s="115" t="s">
        <v>2246</v>
      </c>
      <c r="C525" s="116" t="s">
        <v>94</v>
      </c>
      <c r="D525" s="116">
        <v>0</v>
      </c>
      <c r="E525" s="136" t="s">
        <v>572</v>
      </c>
      <c r="F525" s="137" t="str">
        <f t="shared" si="24"/>
        <v/>
      </c>
      <c r="G525" s="138" t="e">
        <f>IF(A525&lt;&gt;"",IF(AND(#REF!="Padrão",$H$4=#REF!),BDI!$B$17,IF(AND(#REF!="Padrão",$H$4=#REF!),BDI!#REF!,IF(AND(#REF!="Diferenciado",$H$4=#REF!),BDI!$E$17,IF(AND(#REF!="Diferenciado",$H$4=#REF!),BDI!#REF!,IF(#REF!="ZERO",0))))),"")</f>
        <v>#REF!</v>
      </c>
      <c r="H525" s="139" t="str">
        <f t="shared" si="25"/>
        <v/>
      </c>
      <c r="I525" s="137" t="str">
        <f t="shared" si="26"/>
        <v/>
      </c>
    </row>
    <row r="526" spans="1:9" hidden="1" x14ac:dyDescent="0.25">
      <c r="A526" s="114" t="s">
        <v>2247</v>
      </c>
      <c r="B526" s="115" t="s">
        <v>2248</v>
      </c>
      <c r="C526" s="116" t="s">
        <v>94</v>
      </c>
      <c r="D526" s="116">
        <v>0</v>
      </c>
      <c r="E526" s="136" t="s">
        <v>572</v>
      </c>
      <c r="F526" s="137" t="str">
        <f t="shared" si="24"/>
        <v/>
      </c>
      <c r="G526" s="138" t="e">
        <f>IF(A526&lt;&gt;"",IF(AND(#REF!="Padrão",$H$4=#REF!),BDI!$B$17,IF(AND(#REF!="Padrão",$H$4=#REF!),BDI!#REF!,IF(AND(#REF!="Diferenciado",$H$4=#REF!),BDI!$E$17,IF(AND(#REF!="Diferenciado",$H$4=#REF!),BDI!#REF!,IF(#REF!="ZERO",0))))),"")</f>
        <v>#REF!</v>
      </c>
      <c r="H526" s="139" t="str">
        <f t="shared" si="25"/>
        <v/>
      </c>
      <c r="I526" s="137" t="str">
        <f t="shared" si="26"/>
        <v/>
      </c>
    </row>
    <row r="527" spans="1:9" hidden="1" x14ac:dyDescent="0.25">
      <c r="A527" s="114" t="s">
        <v>2249</v>
      </c>
      <c r="B527" s="115" t="s">
        <v>2250</v>
      </c>
      <c r="C527" s="116" t="s">
        <v>94</v>
      </c>
      <c r="D527" s="116">
        <v>0</v>
      </c>
      <c r="E527" s="136" t="s">
        <v>572</v>
      </c>
      <c r="F527" s="137" t="str">
        <f t="shared" si="24"/>
        <v/>
      </c>
      <c r="G527" s="138" t="e">
        <f>IF(A527&lt;&gt;"",IF(AND(#REF!="Padrão",$H$4=#REF!),BDI!$B$17,IF(AND(#REF!="Padrão",$H$4=#REF!),BDI!#REF!,IF(AND(#REF!="Diferenciado",$H$4=#REF!),BDI!$E$17,IF(AND(#REF!="Diferenciado",$H$4=#REF!),BDI!#REF!,IF(#REF!="ZERO",0))))),"")</f>
        <v>#REF!</v>
      </c>
      <c r="H527" s="139" t="str">
        <f t="shared" si="25"/>
        <v/>
      </c>
      <c r="I527" s="137" t="str">
        <f t="shared" si="26"/>
        <v/>
      </c>
    </row>
    <row r="528" spans="1:9" hidden="1" x14ac:dyDescent="0.25">
      <c r="A528" s="114" t="s">
        <v>2251</v>
      </c>
      <c r="B528" s="115" t="s">
        <v>2252</v>
      </c>
      <c r="C528" s="116" t="s">
        <v>94</v>
      </c>
      <c r="D528" s="116">
        <v>0</v>
      </c>
      <c r="E528" s="136" t="s">
        <v>572</v>
      </c>
      <c r="F528" s="137" t="str">
        <f t="shared" si="24"/>
        <v/>
      </c>
      <c r="G528" s="138" t="e">
        <f>IF(A528&lt;&gt;"",IF(AND(#REF!="Padrão",$H$4=#REF!),BDI!$B$17,IF(AND(#REF!="Padrão",$H$4=#REF!),BDI!#REF!,IF(AND(#REF!="Diferenciado",$H$4=#REF!),BDI!$E$17,IF(AND(#REF!="Diferenciado",$H$4=#REF!),BDI!#REF!,IF(#REF!="ZERO",0))))),"")</f>
        <v>#REF!</v>
      </c>
      <c r="H528" s="139" t="str">
        <f t="shared" si="25"/>
        <v/>
      </c>
      <c r="I528" s="137" t="str">
        <f t="shared" si="26"/>
        <v/>
      </c>
    </row>
    <row r="529" spans="1:9" hidden="1" x14ac:dyDescent="0.25">
      <c r="A529" s="114" t="s">
        <v>2253</v>
      </c>
      <c r="B529" s="115" t="s">
        <v>2254</v>
      </c>
      <c r="C529" s="116" t="s">
        <v>94</v>
      </c>
      <c r="D529" s="116">
        <v>0</v>
      </c>
      <c r="E529" s="136" t="s">
        <v>572</v>
      </c>
      <c r="F529" s="137" t="str">
        <f t="shared" si="24"/>
        <v/>
      </c>
      <c r="G529" s="138" t="e">
        <f>IF(A529&lt;&gt;"",IF(AND(#REF!="Padrão",$H$4=#REF!),BDI!$B$17,IF(AND(#REF!="Padrão",$H$4=#REF!),BDI!#REF!,IF(AND(#REF!="Diferenciado",$H$4=#REF!),BDI!$E$17,IF(AND(#REF!="Diferenciado",$H$4=#REF!),BDI!#REF!,IF(#REF!="ZERO",0))))),"")</f>
        <v>#REF!</v>
      </c>
      <c r="H529" s="139" t="str">
        <f t="shared" si="25"/>
        <v/>
      </c>
      <c r="I529" s="137" t="str">
        <f t="shared" si="26"/>
        <v/>
      </c>
    </row>
    <row r="530" spans="1:9" hidden="1" x14ac:dyDescent="0.25">
      <c r="A530" s="114" t="s">
        <v>2255</v>
      </c>
      <c r="B530" s="115" t="s">
        <v>2256</v>
      </c>
      <c r="C530" s="116" t="s">
        <v>94</v>
      </c>
      <c r="D530" s="116">
        <v>0</v>
      </c>
      <c r="E530" s="136" t="s">
        <v>572</v>
      </c>
      <c r="F530" s="137" t="str">
        <f t="shared" si="24"/>
        <v/>
      </c>
      <c r="G530" s="138" t="e">
        <f>IF(A530&lt;&gt;"",IF(AND(#REF!="Padrão",$H$4=#REF!),BDI!$B$17,IF(AND(#REF!="Padrão",$H$4=#REF!),BDI!#REF!,IF(AND(#REF!="Diferenciado",$H$4=#REF!),BDI!$E$17,IF(AND(#REF!="Diferenciado",$H$4=#REF!),BDI!#REF!,IF(#REF!="ZERO",0))))),"")</f>
        <v>#REF!</v>
      </c>
      <c r="H530" s="139" t="str">
        <f t="shared" si="25"/>
        <v/>
      </c>
      <c r="I530" s="137" t="str">
        <f t="shared" si="26"/>
        <v/>
      </c>
    </row>
    <row r="531" spans="1:9" hidden="1" x14ac:dyDescent="0.25">
      <c r="A531" s="114" t="s">
        <v>2257</v>
      </c>
      <c r="B531" s="115" t="s">
        <v>2258</v>
      </c>
      <c r="C531" s="116" t="s">
        <v>94</v>
      </c>
      <c r="D531" s="116">
        <v>0</v>
      </c>
      <c r="E531" s="136" t="s">
        <v>572</v>
      </c>
      <c r="F531" s="137" t="str">
        <f t="shared" si="24"/>
        <v/>
      </c>
      <c r="G531" s="138" t="e">
        <f>IF(A531&lt;&gt;"",IF(AND(#REF!="Padrão",$H$4=#REF!),BDI!$B$17,IF(AND(#REF!="Padrão",$H$4=#REF!),BDI!#REF!,IF(AND(#REF!="Diferenciado",$H$4=#REF!),BDI!$E$17,IF(AND(#REF!="Diferenciado",$H$4=#REF!),BDI!#REF!,IF(#REF!="ZERO",0))))),"")</f>
        <v>#REF!</v>
      </c>
      <c r="H531" s="139" t="str">
        <f t="shared" si="25"/>
        <v/>
      </c>
      <c r="I531" s="137" t="str">
        <f t="shared" si="26"/>
        <v/>
      </c>
    </row>
    <row r="532" spans="1:9" hidden="1" x14ac:dyDescent="0.25">
      <c r="A532" s="114" t="s">
        <v>2259</v>
      </c>
      <c r="B532" s="115" t="s">
        <v>2260</v>
      </c>
      <c r="C532" s="116" t="s">
        <v>94</v>
      </c>
      <c r="D532" s="116">
        <v>0</v>
      </c>
      <c r="E532" s="136" t="s">
        <v>572</v>
      </c>
      <c r="F532" s="137" t="str">
        <f t="shared" si="24"/>
        <v/>
      </c>
      <c r="G532" s="138" t="e">
        <f>IF(A532&lt;&gt;"",IF(AND(#REF!="Padrão",$H$4=#REF!),BDI!$B$17,IF(AND(#REF!="Padrão",$H$4=#REF!),BDI!#REF!,IF(AND(#REF!="Diferenciado",$H$4=#REF!),BDI!$E$17,IF(AND(#REF!="Diferenciado",$H$4=#REF!),BDI!#REF!,IF(#REF!="ZERO",0))))),"")</f>
        <v>#REF!</v>
      </c>
      <c r="H532" s="139" t="str">
        <f t="shared" si="25"/>
        <v/>
      </c>
      <c r="I532" s="137" t="str">
        <f t="shared" si="26"/>
        <v/>
      </c>
    </row>
    <row r="533" spans="1:9" hidden="1" x14ac:dyDescent="0.25">
      <c r="A533" s="114" t="s">
        <v>2261</v>
      </c>
      <c r="B533" s="115" t="s">
        <v>2262</v>
      </c>
      <c r="C533" s="116" t="s">
        <v>94</v>
      </c>
      <c r="D533" s="116">
        <v>0</v>
      </c>
      <c r="E533" s="136" t="s">
        <v>572</v>
      </c>
      <c r="F533" s="137" t="str">
        <f t="shared" si="24"/>
        <v/>
      </c>
      <c r="G533" s="138" t="e">
        <f>IF(A533&lt;&gt;"",IF(AND(#REF!="Padrão",$H$4=#REF!),BDI!$B$17,IF(AND(#REF!="Padrão",$H$4=#REF!),BDI!#REF!,IF(AND(#REF!="Diferenciado",$H$4=#REF!),BDI!$E$17,IF(AND(#REF!="Diferenciado",$H$4=#REF!),BDI!#REF!,IF(#REF!="ZERO",0))))),"")</f>
        <v>#REF!</v>
      </c>
      <c r="H533" s="139" t="str">
        <f t="shared" si="25"/>
        <v/>
      </c>
      <c r="I533" s="137" t="str">
        <f t="shared" si="26"/>
        <v/>
      </c>
    </row>
    <row r="534" spans="1:9" hidden="1" x14ac:dyDescent="0.25">
      <c r="A534" s="114" t="s">
        <v>2263</v>
      </c>
      <c r="B534" s="115" t="s">
        <v>2264</v>
      </c>
      <c r="C534" s="116" t="s">
        <v>94</v>
      </c>
      <c r="D534" s="116">
        <v>0</v>
      </c>
      <c r="E534" s="136" t="s">
        <v>572</v>
      </c>
      <c r="F534" s="137" t="str">
        <f t="shared" si="24"/>
        <v/>
      </c>
      <c r="G534" s="138" t="e">
        <f>IF(A534&lt;&gt;"",IF(AND(#REF!="Padrão",$H$4=#REF!),BDI!$B$17,IF(AND(#REF!="Padrão",$H$4=#REF!),BDI!#REF!,IF(AND(#REF!="Diferenciado",$H$4=#REF!),BDI!$E$17,IF(AND(#REF!="Diferenciado",$H$4=#REF!),BDI!#REF!,IF(#REF!="ZERO",0))))),"")</f>
        <v>#REF!</v>
      </c>
      <c r="H534" s="139" t="str">
        <f t="shared" si="25"/>
        <v/>
      </c>
      <c r="I534" s="137" t="str">
        <f t="shared" si="26"/>
        <v/>
      </c>
    </row>
    <row r="535" spans="1:9" hidden="1" x14ac:dyDescent="0.25">
      <c r="A535" s="114" t="s">
        <v>2265</v>
      </c>
      <c r="B535" s="115" t="s">
        <v>2266</v>
      </c>
      <c r="C535" s="116" t="s">
        <v>94</v>
      </c>
      <c r="D535" s="116">
        <v>0</v>
      </c>
      <c r="E535" s="136" t="s">
        <v>572</v>
      </c>
      <c r="F535" s="137" t="str">
        <f t="shared" si="24"/>
        <v/>
      </c>
      <c r="G535" s="138" t="e">
        <f>IF(A535&lt;&gt;"",IF(AND(#REF!="Padrão",$H$4=#REF!),BDI!$B$17,IF(AND(#REF!="Padrão",$H$4=#REF!),BDI!#REF!,IF(AND(#REF!="Diferenciado",$H$4=#REF!),BDI!$E$17,IF(AND(#REF!="Diferenciado",$H$4=#REF!),BDI!#REF!,IF(#REF!="ZERO",0))))),"")</f>
        <v>#REF!</v>
      </c>
      <c r="H535" s="139" t="str">
        <f t="shared" si="25"/>
        <v/>
      </c>
      <c r="I535" s="137" t="str">
        <f t="shared" si="26"/>
        <v/>
      </c>
    </row>
    <row r="536" spans="1:9" hidden="1" x14ac:dyDescent="0.25">
      <c r="A536" s="114" t="s">
        <v>2267</v>
      </c>
      <c r="B536" s="115" t="s">
        <v>2268</v>
      </c>
      <c r="C536" s="116" t="s">
        <v>94</v>
      </c>
      <c r="D536" s="116">
        <v>0</v>
      </c>
      <c r="E536" s="136" t="s">
        <v>572</v>
      </c>
      <c r="F536" s="137" t="str">
        <f t="shared" si="24"/>
        <v/>
      </c>
      <c r="G536" s="138" t="e">
        <f>IF(A536&lt;&gt;"",IF(AND(#REF!="Padrão",$H$4=#REF!),BDI!$B$17,IF(AND(#REF!="Padrão",$H$4=#REF!),BDI!#REF!,IF(AND(#REF!="Diferenciado",$H$4=#REF!),BDI!$E$17,IF(AND(#REF!="Diferenciado",$H$4=#REF!),BDI!#REF!,IF(#REF!="ZERO",0))))),"")</f>
        <v>#REF!</v>
      </c>
      <c r="H536" s="139" t="str">
        <f t="shared" si="25"/>
        <v/>
      </c>
      <c r="I536" s="137" t="str">
        <f t="shared" si="26"/>
        <v/>
      </c>
    </row>
    <row r="537" spans="1:9" hidden="1" x14ac:dyDescent="0.25">
      <c r="A537" s="114" t="s">
        <v>2269</v>
      </c>
      <c r="B537" s="115" t="s">
        <v>2270</v>
      </c>
      <c r="C537" s="116" t="s">
        <v>94</v>
      </c>
      <c r="D537" s="116">
        <v>0</v>
      </c>
      <c r="E537" s="136" t="s">
        <v>572</v>
      </c>
      <c r="F537" s="137" t="str">
        <f t="shared" si="24"/>
        <v/>
      </c>
      <c r="G537" s="138" t="e">
        <f>IF(A537&lt;&gt;"",IF(AND(#REF!="Padrão",$H$4=#REF!),BDI!$B$17,IF(AND(#REF!="Padrão",$H$4=#REF!),BDI!#REF!,IF(AND(#REF!="Diferenciado",$H$4=#REF!),BDI!$E$17,IF(AND(#REF!="Diferenciado",$H$4=#REF!),BDI!#REF!,IF(#REF!="ZERO",0))))),"")</f>
        <v>#REF!</v>
      </c>
      <c r="H537" s="139" t="str">
        <f t="shared" si="25"/>
        <v/>
      </c>
      <c r="I537" s="137" t="str">
        <f t="shared" si="26"/>
        <v/>
      </c>
    </row>
    <row r="538" spans="1:9" hidden="1" x14ac:dyDescent="0.25">
      <c r="A538" s="114" t="s">
        <v>2271</v>
      </c>
      <c r="B538" s="115" t="s">
        <v>2272</v>
      </c>
      <c r="C538" s="116" t="s">
        <v>94</v>
      </c>
      <c r="D538" s="116">
        <v>0</v>
      </c>
      <c r="E538" s="136" t="s">
        <v>572</v>
      </c>
      <c r="F538" s="137" t="str">
        <f t="shared" si="24"/>
        <v/>
      </c>
      <c r="G538" s="138" t="e">
        <f>IF(A538&lt;&gt;"",IF(AND(#REF!="Padrão",$H$4=#REF!),BDI!$B$17,IF(AND(#REF!="Padrão",$H$4=#REF!),BDI!#REF!,IF(AND(#REF!="Diferenciado",$H$4=#REF!),BDI!$E$17,IF(AND(#REF!="Diferenciado",$H$4=#REF!),BDI!#REF!,IF(#REF!="ZERO",0))))),"")</f>
        <v>#REF!</v>
      </c>
      <c r="H538" s="139" t="str">
        <f t="shared" si="25"/>
        <v/>
      </c>
      <c r="I538" s="137" t="str">
        <f t="shared" si="26"/>
        <v/>
      </c>
    </row>
    <row r="539" spans="1:9" hidden="1" x14ac:dyDescent="0.25">
      <c r="A539" s="114" t="s">
        <v>2273</v>
      </c>
      <c r="B539" s="115" t="s">
        <v>2274</v>
      </c>
      <c r="C539" s="116" t="s">
        <v>94</v>
      </c>
      <c r="D539" s="116">
        <v>0</v>
      </c>
      <c r="E539" s="136" t="s">
        <v>572</v>
      </c>
      <c r="F539" s="137" t="str">
        <f t="shared" si="24"/>
        <v/>
      </c>
      <c r="G539" s="138" t="e">
        <f>IF(A539&lt;&gt;"",IF(AND(#REF!="Padrão",$H$4=#REF!),BDI!$B$17,IF(AND(#REF!="Padrão",$H$4=#REF!),BDI!#REF!,IF(AND(#REF!="Diferenciado",$H$4=#REF!),BDI!$E$17,IF(AND(#REF!="Diferenciado",$H$4=#REF!),BDI!#REF!,IF(#REF!="ZERO",0))))),"")</f>
        <v>#REF!</v>
      </c>
      <c r="H539" s="139" t="str">
        <f t="shared" si="25"/>
        <v/>
      </c>
      <c r="I539" s="137" t="str">
        <f t="shared" si="26"/>
        <v/>
      </c>
    </row>
    <row r="540" spans="1:9" hidden="1" x14ac:dyDescent="0.25">
      <c r="A540" s="114" t="s">
        <v>2275</v>
      </c>
      <c r="B540" s="115" t="s">
        <v>2276</v>
      </c>
      <c r="C540" s="116" t="s">
        <v>94</v>
      </c>
      <c r="D540" s="116">
        <v>0</v>
      </c>
      <c r="E540" s="136" t="s">
        <v>572</v>
      </c>
      <c r="F540" s="137" t="str">
        <f t="shared" si="24"/>
        <v/>
      </c>
      <c r="G540" s="138" t="e">
        <f>IF(A540&lt;&gt;"",IF(AND(#REF!="Padrão",$H$4=#REF!),BDI!$B$17,IF(AND(#REF!="Padrão",$H$4=#REF!),BDI!#REF!,IF(AND(#REF!="Diferenciado",$H$4=#REF!),BDI!$E$17,IF(AND(#REF!="Diferenciado",$H$4=#REF!),BDI!#REF!,IF(#REF!="ZERO",0))))),"")</f>
        <v>#REF!</v>
      </c>
      <c r="H540" s="139" t="str">
        <f t="shared" si="25"/>
        <v/>
      </c>
      <c r="I540" s="137" t="str">
        <f t="shared" si="26"/>
        <v/>
      </c>
    </row>
    <row r="541" spans="1:9" hidden="1" x14ac:dyDescent="0.25">
      <c r="A541" s="114" t="s">
        <v>2277</v>
      </c>
      <c r="B541" s="115" t="s">
        <v>2278</v>
      </c>
      <c r="C541" s="116" t="s">
        <v>94</v>
      </c>
      <c r="D541" s="116">
        <v>0</v>
      </c>
      <c r="E541" s="136" t="s">
        <v>572</v>
      </c>
      <c r="F541" s="137" t="str">
        <f t="shared" si="24"/>
        <v/>
      </c>
      <c r="G541" s="138" t="e">
        <f>IF(A541&lt;&gt;"",IF(AND(#REF!="Padrão",$H$4=#REF!),BDI!$B$17,IF(AND(#REF!="Padrão",$H$4=#REF!),BDI!#REF!,IF(AND(#REF!="Diferenciado",$H$4=#REF!),BDI!$E$17,IF(AND(#REF!="Diferenciado",$H$4=#REF!),BDI!#REF!,IF(#REF!="ZERO",0))))),"")</f>
        <v>#REF!</v>
      </c>
      <c r="H541" s="139" t="str">
        <f t="shared" si="25"/>
        <v/>
      </c>
      <c r="I541" s="137" t="str">
        <f t="shared" si="26"/>
        <v/>
      </c>
    </row>
    <row r="542" spans="1:9" hidden="1" x14ac:dyDescent="0.25">
      <c r="A542" s="114" t="s">
        <v>2279</v>
      </c>
      <c r="B542" s="115" t="s">
        <v>2280</v>
      </c>
      <c r="C542" s="116" t="s">
        <v>94</v>
      </c>
      <c r="D542" s="116">
        <v>0</v>
      </c>
      <c r="E542" s="136" t="s">
        <v>572</v>
      </c>
      <c r="F542" s="137" t="str">
        <f t="shared" si="24"/>
        <v/>
      </c>
      <c r="G542" s="138" t="e">
        <f>IF(A542&lt;&gt;"",IF(AND(#REF!="Padrão",$H$4=#REF!),BDI!$B$17,IF(AND(#REF!="Padrão",$H$4=#REF!),BDI!#REF!,IF(AND(#REF!="Diferenciado",$H$4=#REF!),BDI!$E$17,IF(AND(#REF!="Diferenciado",$H$4=#REF!),BDI!#REF!,IF(#REF!="ZERO",0))))),"")</f>
        <v>#REF!</v>
      </c>
      <c r="H542" s="139" t="str">
        <f t="shared" si="25"/>
        <v/>
      </c>
      <c r="I542" s="137" t="str">
        <f t="shared" si="26"/>
        <v/>
      </c>
    </row>
    <row r="543" spans="1:9" hidden="1" x14ac:dyDescent="0.25">
      <c r="A543" s="114" t="s">
        <v>2281</v>
      </c>
      <c r="B543" s="115" t="s">
        <v>2282</v>
      </c>
      <c r="C543" s="116" t="s">
        <v>20</v>
      </c>
      <c r="D543" s="116">
        <v>0</v>
      </c>
      <c r="E543" s="136" t="s">
        <v>572</v>
      </c>
      <c r="F543" s="137" t="str">
        <f t="shared" si="24"/>
        <v/>
      </c>
      <c r="G543" s="138" t="e">
        <f>IF(A543&lt;&gt;"",IF(AND(#REF!="Padrão",$H$4=#REF!),BDI!$B$17,IF(AND(#REF!="Padrão",$H$4=#REF!),BDI!#REF!,IF(AND(#REF!="Diferenciado",$H$4=#REF!),BDI!$E$17,IF(AND(#REF!="Diferenciado",$H$4=#REF!),BDI!#REF!,IF(#REF!="ZERO",0))))),"")</f>
        <v>#REF!</v>
      </c>
      <c r="H543" s="139" t="str">
        <f t="shared" si="25"/>
        <v/>
      </c>
      <c r="I543" s="137" t="str">
        <f t="shared" si="26"/>
        <v/>
      </c>
    </row>
    <row r="544" spans="1:9" hidden="1" x14ac:dyDescent="0.25">
      <c r="A544" s="114" t="s">
        <v>2283</v>
      </c>
      <c r="B544" s="115" t="s">
        <v>2284</v>
      </c>
      <c r="C544" s="116" t="s">
        <v>20</v>
      </c>
      <c r="D544" s="116">
        <v>0</v>
      </c>
      <c r="E544" s="136" t="s">
        <v>572</v>
      </c>
      <c r="F544" s="137" t="str">
        <f t="shared" si="24"/>
        <v/>
      </c>
      <c r="G544" s="138" t="e">
        <f>IF(A544&lt;&gt;"",IF(AND(#REF!="Padrão",$H$4=#REF!),BDI!$B$17,IF(AND(#REF!="Padrão",$H$4=#REF!),BDI!#REF!,IF(AND(#REF!="Diferenciado",$H$4=#REF!),BDI!$E$17,IF(AND(#REF!="Diferenciado",$H$4=#REF!),BDI!#REF!,IF(#REF!="ZERO",0))))),"")</f>
        <v>#REF!</v>
      </c>
      <c r="H544" s="139" t="str">
        <f t="shared" si="25"/>
        <v/>
      </c>
      <c r="I544" s="137" t="str">
        <f t="shared" si="26"/>
        <v/>
      </c>
    </row>
    <row r="545" spans="1:9" hidden="1" x14ac:dyDescent="0.25">
      <c r="A545" s="114" t="s">
        <v>2285</v>
      </c>
      <c r="B545" s="115" t="s">
        <v>2286</v>
      </c>
      <c r="C545" s="116" t="s">
        <v>94</v>
      </c>
      <c r="D545" s="116">
        <v>0</v>
      </c>
      <c r="E545" s="136" t="s">
        <v>572</v>
      </c>
      <c r="F545" s="137" t="str">
        <f t="shared" si="24"/>
        <v/>
      </c>
      <c r="G545" s="138" t="e">
        <f>IF(A545&lt;&gt;"",IF(AND(#REF!="Padrão",$H$4=#REF!),BDI!$B$17,IF(AND(#REF!="Padrão",$H$4=#REF!),BDI!#REF!,IF(AND(#REF!="Diferenciado",$H$4=#REF!),BDI!$E$17,IF(AND(#REF!="Diferenciado",$H$4=#REF!),BDI!#REF!,IF(#REF!="ZERO",0))))),"")</f>
        <v>#REF!</v>
      </c>
      <c r="H545" s="139" t="str">
        <f t="shared" si="25"/>
        <v/>
      </c>
      <c r="I545" s="137" t="str">
        <f t="shared" si="26"/>
        <v/>
      </c>
    </row>
    <row r="546" spans="1:9" hidden="1" x14ac:dyDescent="0.25">
      <c r="A546" s="114" t="s">
        <v>2287</v>
      </c>
      <c r="B546" s="115" t="s">
        <v>2288</v>
      </c>
      <c r="C546" s="116" t="s">
        <v>94</v>
      </c>
      <c r="D546" s="116">
        <v>0</v>
      </c>
      <c r="E546" s="136" t="s">
        <v>572</v>
      </c>
      <c r="F546" s="137" t="str">
        <f t="shared" si="24"/>
        <v/>
      </c>
      <c r="G546" s="138" t="e">
        <f>IF(A546&lt;&gt;"",IF(AND(#REF!="Padrão",$H$4=#REF!),BDI!$B$17,IF(AND(#REF!="Padrão",$H$4=#REF!),BDI!#REF!,IF(AND(#REF!="Diferenciado",$H$4=#REF!),BDI!$E$17,IF(AND(#REF!="Diferenciado",$H$4=#REF!),BDI!#REF!,IF(#REF!="ZERO",0))))),"")</f>
        <v>#REF!</v>
      </c>
      <c r="H546" s="139" t="str">
        <f t="shared" si="25"/>
        <v/>
      </c>
      <c r="I546" s="137" t="str">
        <f t="shared" si="26"/>
        <v/>
      </c>
    </row>
    <row r="547" spans="1:9" hidden="1" x14ac:dyDescent="0.25">
      <c r="A547" s="114" t="s">
        <v>2289</v>
      </c>
      <c r="B547" s="115" t="s">
        <v>2290</v>
      </c>
      <c r="C547" s="116" t="s">
        <v>94</v>
      </c>
      <c r="D547" s="116">
        <v>0</v>
      </c>
      <c r="E547" s="136" t="s">
        <v>572</v>
      </c>
      <c r="F547" s="137" t="str">
        <f t="shared" si="24"/>
        <v/>
      </c>
      <c r="G547" s="138" t="e">
        <f>IF(A547&lt;&gt;"",IF(AND(#REF!="Padrão",$H$4=#REF!),BDI!$B$17,IF(AND(#REF!="Padrão",$H$4=#REF!),BDI!#REF!,IF(AND(#REF!="Diferenciado",$H$4=#REF!),BDI!$E$17,IF(AND(#REF!="Diferenciado",$H$4=#REF!),BDI!#REF!,IF(#REF!="ZERO",0))))),"")</f>
        <v>#REF!</v>
      </c>
      <c r="H547" s="139" t="str">
        <f t="shared" si="25"/>
        <v/>
      </c>
      <c r="I547" s="137" t="str">
        <f t="shared" si="26"/>
        <v/>
      </c>
    </row>
    <row r="548" spans="1:9" hidden="1" x14ac:dyDescent="0.25">
      <c r="A548" s="114" t="s">
        <v>2291</v>
      </c>
      <c r="B548" s="115" t="s">
        <v>2292</v>
      </c>
      <c r="C548" s="116" t="s">
        <v>94</v>
      </c>
      <c r="D548" s="116">
        <v>0</v>
      </c>
      <c r="E548" s="136" t="s">
        <v>572</v>
      </c>
      <c r="F548" s="137" t="str">
        <f t="shared" si="24"/>
        <v/>
      </c>
      <c r="G548" s="138" t="e">
        <f>IF(A548&lt;&gt;"",IF(AND(#REF!="Padrão",$H$4=#REF!),BDI!$B$17,IF(AND(#REF!="Padrão",$H$4=#REF!),BDI!#REF!,IF(AND(#REF!="Diferenciado",$H$4=#REF!),BDI!$E$17,IF(AND(#REF!="Diferenciado",$H$4=#REF!),BDI!#REF!,IF(#REF!="ZERO",0))))),"")</f>
        <v>#REF!</v>
      </c>
      <c r="H548" s="139" t="str">
        <f t="shared" si="25"/>
        <v/>
      </c>
      <c r="I548" s="137" t="str">
        <f t="shared" si="26"/>
        <v/>
      </c>
    </row>
    <row r="549" spans="1:9" hidden="1" x14ac:dyDescent="0.25">
      <c r="A549" s="114" t="s">
        <v>2293</v>
      </c>
      <c r="B549" s="115" t="s">
        <v>2294</v>
      </c>
      <c r="C549" s="116" t="s">
        <v>94</v>
      </c>
      <c r="D549" s="116">
        <v>0</v>
      </c>
      <c r="E549" s="136" t="s">
        <v>572</v>
      </c>
      <c r="F549" s="137" t="str">
        <f t="shared" si="24"/>
        <v/>
      </c>
      <c r="G549" s="138" t="e">
        <f>IF(A549&lt;&gt;"",IF(AND(#REF!="Padrão",$H$4=#REF!),BDI!$B$17,IF(AND(#REF!="Padrão",$H$4=#REF!),BDI!#REF!,IF(AND(#REF!="Diferenciado",$H$4=#REF!),BDI!$E$17,IF(AND(#REF!="Diferenciado",$H$4=#REF!),BDI!#REF!,IF(#REF!="ZERO",0))))),"")</f>
        <v>#REF!</v>
      </c>
      <c r="H549" s="139" t="str">
        <f t="shared" si="25"/>
        <v/>
      </c>
      <c r="I549" s="137" t="str">
        <f t="shared" si="26"/>
        <v/>
      </c>
    </row>
    <row r="550" spans="1:9" hidden="1" x14ac:dyDescent="0.25">
      <c r="A550" s="114" t="s">
        <v>2295</v>
      </c>
      <c r="B550" s="115" t="s">
        <v>2296</v>
      </c>
      <c r="C550" s="116" t="s">
        <v>94</v>
      </c>
      <c r="D550" s="116">
        <v>0</v>
      </c>
      <c r="E550" s="136" t="s">
        <v>572</v>
      </c>
      <c r="F550" s="137" t="str">
        <f t="shared" si="24"/>
        <v/>
      </c>
      <c r="G550" s="138" t="e">
        <f>IF(A550&lt;&gt;"",IF(AND(#REF!="Padrão",$H$4=#REF!),BDI!$B$17,IF(AND(#REF!="Padrão",$H$4=#REF!),BDI!#REF!,IF(AND(#REF!="Diferenciado",$H$4=#REF!),BDI!$E$17,IF(AND(#REF!="Diferenciado",$H$4=#REF!),BDI!#REF!,IF(#REF!="ZERO",0))))),"")</f>
        <v>#REF!</v>
      </c>
      <c r="H550" s="139" t="str">
        <f t="shared" si="25"/>
        <v/>
      </c>
      <c r="I550" s="137" t="str">
        <f t="shared" si="26"/>
        <v/>
      </c>
    </row>
    <row r="551" spans="1:9" hidden="1" x14ac:dyDescent="0.25">
      <c r="A551" s="114" t="s">
        <v>2297</v>
      </c>
      <c r="B551" s="115" t="s">
        <v>2298</v>
      </c>
      <c r="C551" s="116" t="s">
        <v>94</v>
      </c>
      <c r="D551" s="116">
        <v>0</v>
      </c>
      <c r="E551" s="136" t="s">
        <v>572</v>
      </c>
      <c r="F551" s="137" t="str">
        <f t="shared" si="24"/>
        <v/>
      </c>
      <c r="G551" s="138" t="e">
        <f>IF(A551&lt;&gt;"",IF(AND(#REF!="Padrão",$H$4=#REF!),BDI!$B$17,IF(AND(#REF!="Padrão",$H$4=#REF!),BDI!#REF!,IF(AND(#REF!="Diferenciado",$H$4=#REF!),BDI!$E$17,IF(AND(#REF!="Diferenciado",$H$4=#REF!),BDI!#REF!,IF(#REF!="ZERO",0))))),"")</f>
        <v>#REF!</v>
      </c>
      <c r="H551" s="139" t="str">
        <f t="shared" si="25"/>
        <v/>
      </c>
      <c r="I551" s="137" t="str">
        <f t="shared" si="26"/>
        <v/>
      </c>
    </row>
    <row r="552" spans="1:9" hidden="1" x14ac:dyDescent="0.25">
      <c r="A552" s="114" t="s">
        <v>2299</v>
      </c>
      <c r="B552" s="115" t="s">
        <v>2300</v>
      </c>
      <c r="C552" s="116" t="s">
        <v>94</v>
      </c>
      <c r="D552" s="116">
        <v>0</v>
      </c>
      <c r="E552" s="136" t="s">
        <v>572</v>
      </c>
      <c r="F552" s="137" t="str">
        <f t="shared" si="24"/>
        <v/>
      </c>
      <c r="G552" s="138" t="e">
        <f>IF(A552&lt;&gt;"",IF(AND(#REF!="Padrão",$H$4=#REF!),BDI!$B$17,IF(AND(#REF!="Padrão",$H$4=#REF!),BDI!#REF!,IF(AND(#REF!="Diferenciado",$H$4=#REF!),BDI!$E$17,IF(AND(#REF!="Diferenciado",$H$4=#REF!),BDI!#REF!,IF(#REF!="ZERO",0))))),"")</f>
        <v>#REF!</v>
      </c>
      <c r="H552" s="139" t="str">
        <f t="shared" si="25"/>
        <v/>
      </c>
      <c r="I552" s="137" t="str">
        <f t="shared" si="26"/>
        <v/>
      </c>
    </row>
    <row r="553" spans="1:9" hidden="1" x14ac:dyDescent="0.25">
      <c r="A553" s="114" t="s">
        <v>2301</v>
      </c>
      <c r="B553" s="115" t="s">
        <v>2302</v>
      </c>
      <c r="C553" s="116" t="s">
        <v>94</v>
      </c>
      <c r="D553" s="116">
        <v>0</v>
      </c>
      <c r="E553" s="136" t="s">
        <v>572</v>
      </c>
      <c r="F553" s="137" t="str">
        <f t="shared" si="24"/>
        <v/>
      </c>
      <c r="G553" s="138" t="e">
        <f>IF(A553&lt;&gt;"",IF(AND(#REF!="Padrão",$H$4=#REF!),BDI!$B$17,IF(AND(#REF!="Padrão",$H$4=#REF!),BDI!#REF!,IF(AND(#REF!="Diferenciado",$H$4=#REF!),BDI!$E$17,IF(AND(#REF!="Diferenciado",$H$4=#REF!),BDI!#REF!,IF(#REF!="ZERO",0))))),"")</f>
        <v>#REF!</v>
      </c>
      <c r="H553" s="139" t="str">
        <f t="shared" si="25"/>
        <v/>
      </c>
      <c r="I553" s="137" t="str">
        <f t="shared" si="26"/>
        <v/>
      </c>
    </row>
    <row r="554" spans="1:9" hidden="1" x14ac:dyDescent="0.25">
      <c r="A554" s="114" t="s">
        <v>2303</v>
      </c>
      <c r="B554" s="115" t="s">
        <v>2304</v>
      </c>
      <c r="C554" s="116" t="s">
        <v>94</v>
      </c>
      <c r="D554" s="116">
        <v>0</v>
      </c>
      <c r="E554" s="136" t="s">
        <v>572</v>
      </c>
      <c r="F554" s="137" t="str">
        <f t="shared" si="24"/>
        <v/>
      </c>
      <c r="G554" s="138" t="e">
        <f>IF(A554&lt;&gt;"",IF(AND(#REF!="Padrão",$H$4=#REF!),BDI!$B$17,IF(AND(#REF!="Padrão",$H$4=#REF!),BDI!#REF!,IF(AND(#REF!="Diferenciado",$H$4=#REF!),BDI!$E$17,IF(AND(#REF!="Diferenciado",$H$4=#REF!),BDI!#REF!,IF(#REF!="ZERO",0))))),"")</f>
        <v>#REF!</v>
      </c>
      <c r="H554" s="139" t="str">
        <f t="shared" si="25"/>
        <v/>
      </c>
      <c r="I554" s="137" t="str">
        <f t="shared" si="26"/>
        <v/>
      </c>
    </row>
    <row r="555" spans="1:9" hidden="1" x14ac:dyDescent="0.25">
      <c r="A555" s="114" t="s">
        <v>2305</v>
      </c>
      <c r="B555" s="115" t="s">
        <v>2306</v>
      </c>
      <c r="C555" s="116" t="s">
        <v>94</v>
      </c>
      <c r="D555" s="116">
        <v>0</v>
      </c>
      <c r="E555" s="136" t="s">
        <v>572</v>
      </c>
      <c r="F555" s="137" t="str">
        <f t="shared" si="24"/>
        <v/>
      </c>
      <c r="G555" s="138" t="e">
        <f>IF(A555&lt;&gt;"",IF(AND(#REF!="Padrão",$H$4=#REF!),BDI!$B$17,IF(AND(#REF!="Padrão",$H$4=#REF!),BDI!#REF!,IF(AND(#REF!="Diferenciado",$H$4=#REF!),BDI!$E$17,IF(AND(#REF!="Diferenciado",$H$4=#REF!),BDI!#REF!,IF(#REF!="ZERO",0))))),"")</f>
        <v>#REF!</v>
      </c>
      <c r="H555" s="139" t="str">
        <f t="shared" si="25"/>
        <v/>
      </c>
      <c r="I555" s="137" t="str">
        <f t="shared" si="26"/>
        <v/>
      </c>
    </row>
    <row r="556" spans="1:9" hidden="1" x14ac:dyDescent="0.25">
      <c r="A556" s="114" t="s">
        <v>2307</v>
      </c>
      <c r="B556" s="115" t="s">
        <v>2308</v>
      </c>
      <c r="C556" s="116" t="s">
        <v>94</v>
      </c>
      <c r="D556" s="116">
        <v>0</v>
      </c>
      <c r="E556" s="136" t="s">
        <v>572</v>
      </c>
      <c r="F556" s="137" t="str">
        <f t="shared" si="24"/>
        <v/>
      </c>
      <c r="G556" s="138" t="e">
        <f>IF(A556&lt;&gt;"",IF(AND(#REF!="Padrão",$H$4=#REF!),BDI!$B$17,IF(AND(#REF!="Padrão",$H$4=#REF!),BDI!#REF!,IF(AND(#REF!="Diferenciado",$H$4=#REF!),BDI!$E$17,IF(AND(#REF!="Diferenciado",$H$4=#REF!),BDI!#REF!,IF(#REF!="ZERO",0))))),"")</f>
        <v>#REF!</v>
      </c>
      <c r="H556" s="139" t="str">
        <f t="shared" si="25"/>
        <v/>
      </c>
      <c r="I556" s="137" t="str">
        <f t="shared" si="26"/>
        <v/>
      </c>
    </row>
    <row r="557" spans="1:9" hidden="1" x14ac:dyDescent="0.25">
      <c r="A557" s="114" t="s">
        <v>2309</v>
      </c>
      <c r="B557" s="115" t="s">
        <v>2310</v>
      </c>
      <c r="C557" s="116" t="s">
        <v>94</v>
      </c>
      <c r="D557" s="116">
        <v>0</v>
      </c>
      <c r="E557" s="136" t="s">
        <v>572</v>
      </c>
      <c r="F557" s="137" t="str">
        <f t="shared" si="24"/>
        <v/>
      </c>
      <c r="G557" s="138" t="e">
        <f>IF(A557&lt;&gt;"",IF(AND(#REF!="Padrão",$H$4=#REF!),BDI!$B$17,IF(AND(#REF!="Padrão",$H$4=#REF!),BDI!#REF!,IF(AND(#REF!="Diferenciado",$H$4=#REF!),BDI!$E$17,IF(AND(#REF!="Diferenciado",$H$4=#REF!),BDI!#REF!,IF(#REF!="ZERO",0))))),"")</f>
        <v>#REF!</v>
      </c>
      <c r="H557" s="139" t="str">
        <f t="shared" si="25"/>
        <v/>
      </c>
      <c r="I557" s="137" t="str">
        <f t="shared" si="26"/>
        <v/>
      </c>
    </row>
    <row r="558" spans="1:9" hidden="1" x14ac:dyDescent="0.25">
      <c r="A558" s="114" t="s">
        <v>2311</v>
      </c>
      <c r="B558" s="115" t="s">
        <v>2312</v>
      </c>
      <c r="C558" s="116" t="s">
        <v>94</v>
      </c>
      <c r="D558" s="116">
        <v>0</v>
      </c>
      <c r="E558" s="136" t="s">
        <v>572</v>
      </c>
      <c r="F558" s="137" t="str">
        <f t="shared" si="24"/>
        <v/>
      </c>
      <c r="G558" s="138" t="e">
        <f>IF(A558&lt;&gt;"",IF(AND(#REF!="Padrão",$H$4=#REF!),BDI!$B$17,IF(AND(#REF!="Padrão",$H$4=#REF!),BDI!#REF!,IF(AND(#REF!="Diferenciado",$H$4=#REF!),BDI!$E$17,IF(AND(#REF!="Diferenciado",$H$4=#REF!),BDI!#REF!,IF(#REF!="ZERO",0))))),"")</f>
        <v>#REF!</v>
      </c>
      <c r="H558" s="139" t="str">
        <f t="shared" si="25"/>
        <v/>
      </c>
      <c r="I558" s="137" t="str">
        <f t="shared" si="26"/>
        <v/>
      </c>
    </row>
    <row r="559" spans="1:9" hidden="1" x14ac:dyDescent="0.25">
      <c r="A559" s="114" t="s">
        <v>2313</v>
      </c>
      <c r="B559" s="115" t="s">
        <v>2314</v>
      </c>
      <c r="C559" s="116" t="s">
        <v>94</v>
      </c>
      <c r="D559" s="116">
        <v>0</v>
      </c>
      <c r="E559" s="136" t="s">
        <v>572</v>
      </c>
      <c r="F559" s="137" t="str">
        <f t="shared" si="24"/>
        <v/>
      </c>
      <c r="G559" s="138" t="e">
        <f>IF(A559&lt;&gt;"",IF(AND(#REF!="Padrão",$H$4=#REF!),BDI!$B$17,IF(AND(#REF!="Padrão",$H$4=#REF!),BDI!#REF!,IF(AND(#REF!="Diferenciado",$H$4=#REF!),BDI!$E$17,IF(AND(#REF!="Diferenciado",$H$4=#REF!),BDI!#REF!,IF(#REF!="ZERO",0))))),"")</f>
        <v>#REF!</v>
      </c>
      <c r="H559" s="139" t="str">
        <f t="shared" si="25"/>
        <v/>
      </c>
      <c r="I559" s="137" t="str">
        <f t="shared" si="26"/>
        <v/>
      </c>
    </row>
    <row r="560" spans="1:9" hidden="1" x14ac:dyDescent="0.25">
      <c r="A560" s="114" t="s">
        <v>2315</v>
      </c>
      <c r="B560" s="115" t="s">
        <v>2316</v>
      </c>
      <c r="C560" s="116" t="s">
        <v>94</v>
      </c>
      <c r="D560" s="116">
        <v>0</v>
      </c>
      <c r="E560" s="136" t="s">
        <v>572</v>
      </c>
      <c r="F560" s="137" t="str">
        <f t="shared" si="24"/>
        <v/>
      </c>
      <c r="G560" s="138" t="e">
        <f>IF(A560&lt;&gt;"",IF(AND(#REF!="Padrão",$H$4=#REF!),BDI!$B$17,IF(AND(#REF!="Padrão",$H$4=#REF!),BDI!#REF!,IF(AND(#REF!="Diferenciado",$H$4=#REF!),BDI!$E$17,IF(AND(#REF!="Diferenciado",$H$4=#REF!),BDI!#REF!,IF(#REF!="ZERO",0))))),"")</f>
        <v>#REF!</v>
      </c>
      <c r="H560" s="139" t="str">
        <f t="shared" si="25"/>
        <v/>
      </c>
      <c r="I560" s="137" t="str">
        <f t="shared" si="26"/>
        <v/>
      </c>
    </row>
    <row r="561" spans="1:9" ht="25.5" hidden="1" x14ac:dyDescent="0.25">
      <c r="A561" s="114" t="s">
        <v>2317</v>
      </c>
      <c r="B561" s="115" t="s">
        <v>2318</v>
      </c>
      <c r="C561" s="116" t="s">
        <v>2319</v>
      </c>
      <c r="D561" s="116">
        <v>0</v>
      </c>
      <c r="E561" s="136" t="s">
        <v>572</v>
      </c>
      <c r="F561" s="137" t="str">
        <f t="shared" si="24"/>
        <v/>
      </c>
      <c r="G561" s="138" t="e">
        <f>IF(A561&lt;&gt;"",IF(AND(#REF!="Padrão",$H$4=#REF!),BDI!$B$17,IF(AND(#REF!="Padrão",$H$4=#REF!),BDI!#REF!,IF(AND(#REF!="Diferenciado",$H$4=#REF!),BDI!$E$17,IF(AND(#REF!="Diferenciado",$H$4=#REF!),BDI!#REF!,IF(#REF!="ZERO",0))))),"")</f>
        <v>#REF!</v>
      </c>
      <c r="H561" s="139" t="str">
        <f t="shared" si="25"/>
        <v/>
      </c>
      <c r="I561" s="137" t="str">
        <f t="shared" si="26"/>
        <v/>
      </c>
    </row>
    <row r="562" spans="1:9" hidden="1" x14ac:dyDescent="0.25">
      <c r="A562" s="114" t="s">
        <v>2320</v>
      </c>
      <c r="B562" s="115" t="s">
        <v>2321</v>
      </c>
      <c r="C562" s="116" t="s">
        <v>96</v>
      </c>
      <c r="D562" s="116">
        <v>0</v>
      </c>
      <c r="E562" s="136">
        <f ca="1">OFFSET(INDEX(Composições!A:J,MATCH(Orçamentária!A562,Composições!A:A,0),8),2,0)</f>
        <v>5.0444999999999993</v>
      </c>
      <c r="F562" s="137">
        <f t="shared" ca="1" si="24"/>
        <v>0</v>
      </c>
      <c r="G562" s="138" t="e">
        <f>IF(A562&lt;&gt;"",IF(AND(#REF!="Padrão",$H$4=#REF!),BDI!$B$17,IF(AND(#REF!="Padrão",$H$4=#REF!),BDI!#REF!,IF(AND(#REF!="Diferenciado",$H$4=#REF!),BDI!$E$17,IF(AND(#REF!="Diferenciado",$H$4=#REF!),BDI!#REF!,IF(#REF!="ZERO",0))))),"")</f>
        <v>#REF!</v>
      </c>
      <c r="H562" s="139" t="e">
        <f t="shared" ca="1" si="25"/>
        <v>#REF!</v>
      </c>
      <c r="I562" s="137" t="e">
        <f t="shared" ca="1" si="26"/>
        <v>#REF!</v>
      </c>
    </row>
    <row r="563" spans="1:9" hidden="1" x14ac:dyDescent="0.25">
      <c r="A563" s="114" t="s">
        <v>2322</v>
      </c>
      <c r="B563" s="115" t="s">
        <v>2323</v>
      </c>
      <c r="C563" s="116" t="s">
        <v>96</v>
      </c>
      <c r="D563" s="116">
        <v>0</v>
      </c>
      <c r="E563" s="136" t="s">
        <v>572</v>
      </c>
      <c r="F563" s="137" t="str">
        <f t="shared" si="24"/>
        <v/>
      </c>
      <c r="G563" s="138" t="e">
        <f>IF(A563&lt;&gt;"",IF(AND(#REF!="Padrão",$H$4=#REF!),BDI!$B$17,IF(AND(#REF!="Padrão",$H$4=#REF!),BDI!#REF!,IF(AND(#REF!="Diferenciado",$H$4=#REF!),BDI!$E$17,IF(AND(#REF!="Diferenciado",$H$4=#REF!),BDI!#REF!,IF(#REF!="ZERO",0))))),"")</f>
        <v>#REF!</v>
      </c>
      <c r="H563" s="139" t="str">
        <f t="shared" si="25"/>
        <v/>
      </c>
      <c r="I563" s="137" t="str">
        <f t="shared" si="26"/>
        <v/>
      </c>
    </row>
    <row r="564" spans="1:9" hidden="1" x14ac:dyDescent="0.25">
      <c r="A564" s="114" t="s">
        <v>2324</v>
      </c>
      <c r="B564" s="115" t="s">
        <v>2325</v>
      </c>
      <c r="C564" s="116" t="s">
        <v>42</v>
      </c>
      <c r="D564" s="116">
        <v>0</v>
      </c>
      <c r="E564" s="136">
        <f ca="1">OFFSET(INDEX(Composições!A:J,MATCH(Orçamentária!A564,Composições!A:A,0),8),2,0)</f>
        <v>24.766500000000001</v>
      </c>
      <c r="F564" s="137">
        <f t="shared" ca="1" si="24"/>
        <v>0</v>
      </c>
      <c r="G564" s="138" t="e">
        <f>IF(A564&lt;&gt;"",IF(AND(#REF!="Padrão",$H$4=#REF!),BDI!$B$17,IF(AND(#REF!="Padrão",$H$4=#REF!),BDI!#REF!,IF(AND(#REF!="Diferenciado",$H$4=#REF!),BDI!$E$17,IF(AND(#REF!="Diferenciado",$H$4=#REF!),BDI!#REF!,IF(#REF!="ZERO",0))))),"")</f>
        <v>#REF!</v>
      </c>
      <c r="H564" s="139" t="e">
        <f t="shared" ca="1" si="25"/>
        <v>#REF!</v>
      </c>
      <c r="I564" s="137" t="e">
        <f t="shared" ca="1" si="26"/>
        <v>#REF!</v>
      </c>
    </row>
    <row r="565" spans="1:9" hidden="1" x14ac:dyDescent="0.25">
      <c r="A565" s="114" t="s">
        <v>2326</v>
      </c>
      <c r="B565" s="115" t="s">
        <v>2327</v>
      </c>
      <c r="C565" s="116" t="s">
        <v>42</v>
      </c>
      <c r="D565" s="116">
        <v>0</v>
      </c>
      <c r="E565" s="136" t="s">
        <v>572</v>
      </c>
      <c r="F565" s="137" t="str">
        <f t="shared" si="24"/>
        <v/>
      </c>
      <c r="G565" s="138" t="e">
        <f>IF(A565&lt;&gt;"",IF(AND(#REF!="Padrão",$H$4=#REF!),BDI!$B$17,IF(AND(#REF!="Padrão",$H$4=#REF!),BDI!#REF!,IF(AND(#REF!="Diferenciado",$H$4=#REF!),BDI!$E$17,IF(AND(#REF!="Diferenciado",$H$4=#REF!),BDI!#REF!,IF(#REF!="ZERO",0))))),"")</f>
        <v>#REF!</v>
      </c>
      <c r="H565" s="139" t="str">
        <f t="shared" si="25"/>
        <v/>
      </c>
      <c r="I565" s="137" t="str">
        <f t="shared" si="26"/>
        <v/>
      </c>
    </row>
    <row r="566" spans="1:9" hidden="1" x14ac:dyDescent="0.25">
      <c r="A566" s="114" t="s">
        <v>2328</v>
      </c>
      <c r="B566" s="115" t="s">
        <v>2329</v>
      </c>
      <c r="C566" s="116" t="s">
        <v>96</v>
      </c>
      <c r="D566" s="116">
        <v>0</v>
      </c>
      <c r="E566" s="136">
        <f ca="1">OFFSET(INDEX(Composições!A:J,MATCH(Orçamentária!A566,Composições!A:A,0),8),2,0)</f>
        <v>35.909999999999997</v>
      </c>
      <c r="F566" s="137">
        <f t="shared" ca="1" si="24"/>
        <v>0</v>
      </c>
      <c r="G566" s="138" t="e">
        <f>IF(A566&lt;&gt;"",IF(AND(#REF!="Padrão",$H$4=#REF!),BDI!$B$17,IF(AND(#REF!="Padrão",$H$4=#REF!),BDI!#REF!,IF(AND(#REF!="Diferenciado",$H$4=#REF!),BDI!$E$17,IF(AND(#REF!="Diferenciado",$H$4=#REF!),BDI!#REF!,IF(#REF!="ZERO",0))))),"")</f>
        <v>#REF!</v>
      </c>
      <c r="H566" s="139" t="e">
        <f t="shared" ca="1" si="25"/>
        <v>#REF!</v>
      </c>
      <c r="I566" s="137" t="e">
        <f t="shared" ca="1" si="26"/>
        <v>#REF!</v>
      </c>
    </row>
    <row r="567" spans="1:9" hidden="1" x14ac:dyDescent="0.25">
      <c r="A567" s="114" t="s">
        <v>2330</v>
      </c>
      <c r="B567" s="115" t="s">
        <v>2331</v>
      </c>
      <c r="C567" s="116" t="s">
        <v>20</v>
      </c>
      <c r="D567" s="116">
        <v>0</v>
      </c>
      <c r="E567" s="136">
        <f ca="1">OFFSET(INDEX(Composições!A:J,MATCH(Orçamentária!A567,Composições!A:A,0),8),2,0)</f>
        <v>10.674199999999999</v>
      </c>
      <c r="F567" s="137">
        <f t="shared" ca="1" si="24"/>
        <v>0</v>
      </c>
      <c r="G567" s="138" t="e">
        <f>IF(A567&lt;&gt;"",IF(AND(#REF!="Padrão",$H$4=#REF!),BDI!$B$17,IF(AND(#REF!="Padrão",$H$4=#REF!),BDI!#REF!,IF(AND(#REF!="Diferenciado",$H$4=#REF!),BDI!$E$17,IF(AND(#REF!="Diferenciado",$H$4=#REF!),BDI!#REF!,IF(#REF!="ZERO",0))))),"")</f>
        <v>#REF!</v>
      </c>
      <c r="H567" s="139" t="e">
        <f t="shared" ca="1" si="25"/>
        <v>#REF!</v>
      </c>
      <c r="I567" s="137" t="e">
        <f t="shared" ca="1" si="26"/>
        <v>#REF!</v>
      </c>
    </row>
    <row r="568" spans="1:9" hidden="1" x14ac:dyDescent="0.25">
      <c r="A568" s="114" t="s">
        <v>800</v>
      </c>
      <c r="B568" s="115" t="s">
        <v>2332</v>
      </c>
      <c r="C568" s="116" t="s">
        <v>2333</v>
      </c>
      <c r="D568" s="116">
        <v>0</v>
      </c>
      <c r="E568" s="136">
        <f ca="1">OFFSET(INDEX(Composições!A:J,MATCH(Orçamentária!A568,Composições!A:A,0),8),2,0)</f>
        <v>17.48</v>
      </c>
      <c r="F568" s="137">
        <f t="shared" ca="1" si="24"/>
        <v>0</v>
      </c>
      <c r="G568" s="138" t="e">
        <f>IF(A568&lt;&gt;"",IF(AND(#REF!="Padrão",$H$4=#REF!),BDI!$B$17,IF(AND(#REF!="Padrão",$H$4=#REF!),BDI!#REF!,IF(AND(#REF!="Diferenciado",$H$4=#REF!),BDI!$E$17,IF(AND(#REF!="Diferenciado",$H$4=#REF!),BDI!#REF!,IF(#REF!="ZERO",0))))),"")</f>
        <v>#REF!</v>
      </c>
      <c r="H568" s="139" t="e">
        <f t="shared" ca="1" si="25"/>
        <v>#REF!</v>
      </c>
      <c r="I568" s="137" t="e">
        <f t="shared" ca="1" si="26"/>
        <v>#REF!</v>
      </c>
    </row>
    <row r="569" spans="1:9" hidden="1" x14ac:dyDescent="0.25">
      <c r="A569" s="114" t="s">
        <v>802</v>
      </c>
      <c r="B569" s="115" t="s">
        <v>2334</v>
      </c>
      <c r="C569" s="116" t="s">
        <v>2333</v>
      </c>
      <c r="D569" s="116">
        <v>0</v>
      </c>
      <c r="E569" s="136">
        <f ca="1">OFFSET(INDEX(Composições!A:J,MATCH(Orçamentária!A569,Composições!A:A,0),8),2,0)</f>
        <v>18.619999999999997</v>
      </c>
      <c r="F569" s="137">
        <f t="shared" ca="1" si="24"/>
        <v>0</v>
      </c>
      <c r="G569" s="138" t="e">
        <f>IF(A569&lt;&gt;"",IF(AND(#REF!="Padrão",$H$4=#REF!),BDI!$B$17,IF(AND(#REF!="Padrão",$H$4=#REF!),BDI!#REF!,IF(AND(#REF!="Diferenciado",$H$4=#REF!),BDI!$E$17,IF(AND(#REF!="Diferenciado",$H$4=#REF!),BDI!#REF!,IF(#REF!="ZERO",0))))),"")</f>
        <v>#REF!</v>
      </c>
      <c r="H569" s="139" t="e">
        <f t="shared" ca="1" si="25"/>
        <v>#REF!</v>
      </c>
      <c r="I569" s="137" t="e">
        <f t="shared" ca="1" si="26"/>
        <v>#REF!</v>
      </c>
    </row>
    <row r="570" spans="1:9" hidden="1" x14ac:dyDescent="0.25">
      <c r="A570" s="114" t="s">
        <v>804</v>
      </c>
      <c r="B570" s="115" t="s">
        <v>2335</v>
      </c>
      <c r="C570" s="116" t="s">
        <v>2336</v>
      </c>
      <c r="D570" s="116">
        <v>0</v>
      </c>
      <c r="E570" s="136">
        <f ca="1">OFFSET(INDEX(Composições!A:J,MATCH(Orçamentária!A570,Composições!A:A,0),8),2,0)</f>
        <v>23.75</v>
      </c>
      <c r="F570" s="137">
        <f t="shared" ca="1" si="24"/>
        <v>0</v>
      </c>
      <c r="G570" s="138" t="e">
        <f>IF(A570&lt;&gt;"",IF(AND(#REF!="Padrão",$H$4=#REF!),BDI!$B$17,IF(AND(#REF!="Padrão",$H$4=#REF!),BDI!#REF!,IF(AND(#REF!="Diferenciado",$H$4=#REF!),BDI!$E$17,IF(AND(#REF!="Diferenciado",$H$4=#REF!),BDI!#REF!,IF(#REF!="ZERO",0))))),"")</f>
        <v>#REF!</v>
      </c>
      <c r="H570" s="139" t="e">
        <f t="shared" ca="1" si="25"/>
        <v>#REF!</v>
      </c>
      <c r="I570" s="137" t="e">
        <f t="shared" ca="1" si="26"/>
        <v>#REF!</v>
      </c>
    </row>
    <row r="571" spans="1:9" hidden="1" x14ac:dyDescent="0.25">
      <c r="A571" s="114" t="s">
        <v>806</v>
      </c>
      <c r="B571" s="115" t="s">
        <v>2337</v>
      </c>
      <c r="C571" s="116" t="s">
        <v>2338</v>
      </c>
      <c r="D571" s="116">
        <v>0</v>
      </c>
      <c r="E571" s="136">
        <f ca="1">OFFSET(INDEX(Composições!A:J,MATCH(Orçamentária!A571,Composições!A:A,0),8),2,0)</f>
        <v>26.22</v>
      </c>
      <c r="F571" s="137">
        <f t="shared" ca="1" si="24"/>
        <v>0</v>
      </c>
      <c r="G571" s="138" t="e">
        <f>IF(A571&lt;&gt;"",IF(AND(#REF!="Padrão",$H$4=#REF!),BDI!$B$17,IF(AND(#REF!="Padrão",$H$4=#REF!),BDI!#REF!,IF(AND(#REF!="Diferenciado",$H$4=#REF!),BDI!$E$17,IF(AND(#REF!="Diferenciado",$H$4=#REF!),BDI!#REF!,IF(#REF!="ZERO",0))))),"")</f>
        <v>#REF!</v>
      </c>
      <c r="H571" s="139" t="e">
        <f t="shared" ca="1" si="25"/>
        <v>#REF!</v>
      </c>
      <c r="I571" s="137" t="e">
        <f t="shared" ca="1" si="26"/>
        <v>#REF!</v>
      </c>
    </row>
    <row r="572" spans="1:9" hidden="1" x14ac:dyDescent="0.25">
      <c r="A572" s="114" t="s">
        <v>807</v>
      </c>
      <c r="B572" s="115" t="s">
        <v>2339</v>
      </c>
      <c r="C572" s="116" t="s">
        <v>2333</v>
      </c>
      <c r="D572" s="116">
        <v>0</v>
      </c>
      <c r="E572" s="136">
        <f ca="1">OFFSET(INDEX(Composições!A:J,MATCH(Orçamentária!A572,Composições!A:A,0),8),2,0)</f>
        <v>13.299999999999999</v>
      </c>
      <c r="F572" s="137">
        <f t="shared" ca="1" si="24"/>
        <v>0</v>
      </c>
      <c r="G572" s="138" t="e">
        <f>IF(A572&lt;&gt;"",IF(AND(#REF!="Padrão",$H$4=#REF!),BDI!$B$17,IF(AND(#REF!="Padrão",$H$4=#REF!),BDI!#REF!,IF(AND(#REF!="Diferenciado",$H$4=#REF!),BDI!$E$17,IF(AND(#REF!="Diferenciado",$H$4=#REF!),BDI!#REF!,IF(#REF!="ZERO",0))))),"")</f>
        <v>#REF!</v>
      </c>
      <c r="H572" s="139" t="e">
        <f t="shared" ca="1" si="25"/>
        <v>#REF!</v>
      </c>
      <c r="I572" s="137" t="e">
        <f t="shared" ca="1" si="26"/>
        <v>#REF!</v>
      </c>
    </row>
    <row r="573" spans="1:9" hidden="1" x14ac:dyDescent="0.25">
      <c r="A573" s="114" t="s">
        <v>808</v>
      </c>
      <c r="B573" s="115" t="s">
        <v>2340</v>
      </c>
      <c r="C573" s="116" t="s">
        <v>112</v>
      </c>
      <c r="D573" s="116">
        <v>0</v>
      </c>
      <c r="E573" s="136">
        <f ca="1">OFFSET(INDEX(Composições!A:J,MATCH(Orçamentária!A573,Composições!A:A,0),8),2,0)</f>
        <v>120.48873655</v>
      </c>
      <c r="F573" s="137">
        <f t="shared" ca="1" si="24"/>
        <v>0</v>
      </c>
      <c r="G573" s="138" t="e">
        <f>IF(A573&lt;&gt;"",IF(AND(#REF!="Padrão",$H$4=#REF!),BDI!$B$17,IF(AND(#REF!="Padrão",$H$4=#REF!),BDI!#REF!,IF(AND(#REF!="Diferenciado",$H$4=#REF!),BDI!$E$17,IF(AND(#REF!="Diferenciado",$H$4=#REF!),BDI!#REF!,IF(#REF!="ZERO",0))))),"")</f>
        <v>#REF!</v>
      </c>
      <c r="H573" s="139" t="e">
        <f t="shared" ca="1" si="25"/>
        <v>#REF!</v>
      </c>
      <c r="I573" s="137" t="e">
        <f t="shared" ca="1" si="26"/>
        <v>#REF!</v>
      </c>
    </row>
    <row r="574" spans="1:9" hidden="1" x14ac:dyDescent="0.25">
      <c r="A574" s="114" t="s">
        <v>813</v>
      </c>
      <c r="B574" s="115" t="s">
        <v>2341</v>
      </c>
      <c r="C574" s="116" t="s">
        <v>112</v>
      </c>
      <c r="D574" s="116">
        <v>0</v>
      </c>
      <c r="E574" s="136">
        <f ca="1">OFFSET(INDEX(Composições!A:J,MATCH(Orçamentária!A574,Composições!A:A,0),8),2,0)</f>
        <v>166.05073655000001</v>
      </c>
      <c r="F574" s="137">
        <f t="shared" ca="1" si="24"/>
        <v>0</v>
      </c>
      <c r="G574" s="138" t="e">
        <f>IF(A574&lt;&gt;"",IF(AND(#REF!="Padrão",$H$4=#REF!),BDI!$B$17,IF(AND(#REF!="Padrão",$H$4=#REF!),BDI!#REF!,IF(AND(#REF!="Diferenciado",$H$4=#REF!),BDI!$E$17,IF(AND(#REF!="Diferenciado",$H$4=#REF!),BDI!#REF!,IF(#REF!="ZERO",0))))),"")</f>
        <v>#REF!</v>
      </c>
      <c r="H574" s="139" t="e">
        <f t="shared" ca="1" si="25"/>
        <v>#REF!</v>
      </c>
      <c r="I574" s="137" t="e">
        <f t="shared" ca="1" si="26"/>
        <v>#REF!</v>
      </c>
    </row>
    <row r="575" spans="1:9" hidden="1" x14ac:dyDescent="0.25">
      <c r="A575" s="114" t="s">
        <v>816</v>
      </c>
      <c r="B575" s="115" t="s">
        <v>2342</v>
      </c>
      <c r="C575" s="116" t="s">
        <v>112</v>
      </c>
      <c r="D575" s="116">
        <v>0</v>
      </c>
      <c r="E575" s="136">
        <f ca="1">OFFSET(INDEX(Composições!A:J,MATCH(Orçamentária!A575,Composições!A:A,0),8),2,0)</f>
        <v>147.87723654999999</v>
      </c>
      <c r="F575" s="137">
        <f t="shared" ca="1" si="24"/>
        <v>0</v>
      </c>
      <c r="G575" s="138" t="e">
        <f>IF(A575&lt;&gt;"",IF(AND(#REF!="Padrão",$H$4=#REF!),BDI!$B$17,IF(AND(#REF!="Padrão",$H$4=#REF!),BDI!#REF!,IF(AND(#REF!="Diferenciado",$H$4=#REF!),BDI!$E$17,IF(AND(#REF!="Diferenciado",$H$4=#REF!),BDI!#REF!,IF(#REF!="ZERO",0))))),"")</f>
        <v>#REF!</v>
      </c>
      <c r="H575" s="139" t="e">
        <f t="shared" ca="1" si="25"/>
        <v>#REF!</v>
      </c>
      <c r="I575" s="137" t="e">
        <f t="shared" ca="1" si="26"/>
        <v>#REF!</v>
      </c>
    </row>
    <row r="576" spans="1:9" hidden="1" x14ac:dyDescent="0.25">
      <c r="A576" s="114" t="s">
        <v>818</v>
      </c>
      <c r="B576" s="115" t="s">
        <v>2343</v>
      </c>
      <c r="C576" s="116" t="s">
        <v>20</v>
      </c>
      <c r="D576" s="116">
        <v>0</v>
      </c>
      <c r="E576" s="136">
        <f ca="1">OFFSET(INDEX(Composições!A:J,MATCH(Orçamentária!A576,Composições!A:A,0),8),2,0)</f>
        <v>0.75050000000000006</v>
      </c>
      <c r="F576" s="137">
        <f t="shared" ca="1" si="24"/>
        <v>0</v>
      </c>
      <c r="G576" s="138" t="e">
        <f>IF(A576&lt;&gt;"",IF(AND(#REF!="Padrão",$H$4=#REF!),BDI!$B$17,IF(AND(#REF!="Padrão",$H$4=#REF!),BDI!#REF!,IF(AND(#REF!="Diferenciado",$H$4=#REF!),BDI!$E$17,IF(AND(#REF!="Diferenciado",$H$4=#REF!),BDI!#REF!,IF(#REF!="ZERO",0))))),"")</f>
        <v>#REF!</v>
      </c>
      <c r="H576" s="139" t="e">
        <f t="shared" ca="1" si="25"/>
        <v>#REF!</v>
      </c>
      <c r="I576" s="137" t="e">
        <f t="shared" ca="1" si="26"/>
        <v>#REF!</v>
      </c>
    </row>
    <row r="577" spans="1:9" hidden="1" x14ac:dyDescent="0.25">
      <c r="A577" s="114" t="s">
        <v>819</v>
      </c>
      <c r="B577" s="115" t="s">
        <v>2344</v>
      </c>
      <c r="C577" s="116" t="s">
        <v>20</v>
      </c>
      <c r="D577" s="116">
        <v>0</v>
      </c>
      <c r="E577" s="136">
        <f ca="1">OFFSET(INDEX(Composições!A:J,MATCH(Orçamentária!A577,Composições!A:A,0),8),2,0)</f>
        <v>0.64600000000000002</v>
      </c>
      <c r="F577" s="137">
        <f t="shared" ca="1" si="24"/>
        <v>0</v>
      </c>
      <c r="G577" s="138" t="e">
        <f>IF(A577&lt;&gt;"",IF(AND(#REF!="Padrão",$H$4=#REF!),BDI!$B$17,IF(AND(#REF!="Padrão",$H$4=#REF!),BDI!#REF!,IF(AND(#REF!="Diferenciado",$H$4=#REF!),BDI!$E$17,IF(AND(#REF!="Diferenciado",$H$4=#REF!),BDI!#REF!,IF(#REF!="ZERO",0))))),"")</f>
        <v>#REF!</v>
      </c>
      <c r="H577" s="139" t="e">
        <f t="shared" ca="1" si="25"/>
        <v>#REF!</v>
      </c>
      <c r="I577" s="137" t="e">
        <f t="shared" ca="1" si="26"/>
        <v>#REF!</v>
      </c>
    </row>
    <row r="578" spans="1:9" hidden="1" x14ac:dyDescent="0.25">
      <c r="A578" s="114" t="s">
        <v>820</v>
      </c>
      <c r="B578" s="115" t="s">
        <v>2345</v>
      </c>
      <c r="C578" s="116" t="s">
        <v>20</v>
      </c>
      <c r="D578" s="116">
        <v>0</v>
      </c>
      <c r="E578" s="136">
        <f ca="1">OFFSET(INDEX(Composições!A:J,MATCH(Orçamentária!A578,Composições!A:A,0),8),2,0)</f>
        <v>2.0710000000000002</v>
      </c>
      <c r="F578" s="137">
        <f t="shared" ca="1" si="24"/>
        <v>0</v>
      </c>
      <c r="G578" s="138" t="e">
        <f>IF(A578&lt;&gt;"",IF(AND(#REF!="Padrão",$H$4=#REF!),BDI!$B$17,IF(AND(#REF!="Padrão",$H$4=#REF!),BDI!#REF!,IF(AND(#REF!="Diferenciado",$H$4=#REF!),BDI!$E$17,IF(AND(#REF!="Diferenciado",$H$4=#REF!),BDI!#REF!,IF(#REF!="ZERO",0))))),"")</f>
        <v>#REF!</v>
      </c>
      <c r="H578" s="139" t="e">
        <f t="shared" ca="1" si="25"/>
        <v>#REF!</v>
      </c>
      <c r="I578" s="137" t="e">
        <f t="shared" ca="1" si="26"/>
        <v>#REF!</v>
      </c>
    </row>
    <row r="579" spans="1:9" hidden="1" x14ac:dyDescent="0.25">
      <c r="A579" s="114" t="s">
        <v>821</v>
      </c>
      <c r="B579" s="115" t="s">
        <v>2346</v>
      </c>
      <c r="C579" s="116" t="s">
        <v>20</v>
      </c>
      <c r="D579" s="116">
        <v>0</v>
      </c>
      <c r="E579" s="136">
        <f ca="1">OFFSET(INDEX(Composições!A:J,MATCH(Orçamentária!A579,Composições!A:A,0),8),2,0)</f>
        <v>0</v>
      </c>
      <c r="F579" s="137">
        <f t="shared" ca="1" si="24"/>
        <v>0</v>
      </c>
      <c r="G579" s="138" t="e">
        <f>IF(A579&lt;&gt;"",IF(AND(#REF!="Padrão",$H$4=#REF!),BDI!$B$17,IF(AND(#REF!="Padrão",$H$4=#REF!),BDI!#REF!,IF(AND(#REF!="Diferenciado",$H$4=#REF!),BDI!$E$17,IF(AND(#REF!="Diferenciado",$H$4=#REF!),BDI!#REF!,IF(#REF!="ZERO",0))))),"")</f>
        <v>#REF!</v>
      </c>
      <c r="H579" s="139" t="e">
        <f t="shared" ca="1" si="25"/>
        <v>#REF!</v>
      </c>
      <c r="I579" s="137" t="e">
        <f t="shared" ca="1" si="26"/>
        <v>#REF!</v>
      </c>
    </row>
    <row r="580" spans="1:9" hidden="1" x14ac:dyDescent="0.25">
      <c r="A580" s="114" t="s">
        <v>822</v>
      </c>
      <c r="B580" s="115" t="s">
        <v>2347</v>
      </c>
      <c r="C580" s="116" t="s">
        <v>94</v>
      </c>
      <c r="D580" s="116">
        <v>0</v>
      </c>
      <c r="E580" s="136">
        <f ca="1">OFFSET(INDEX(Composições!A:J,MATCH(Orçamentária!A580,Composições!A:A,0),8),2,0)</f>
        <v>0.64600000000000002</v>
      </c>
      <c r="F580" s="137">
        <f t="shared" ca="1" si="24"/>
        <v>0</v>
      </c>
      <c r="G580" s="138" t="e">
        <f>IF(A580&lt;&gt;"",IF(AND(#REF!="Padrão",$H$4=#REF!),BDI!$B$17,IF(AND(#REF!="Padrão",$H$4=#REF!),BDI!#REF!,IF(AND(#REF!="Diferenciado",$H$4=#REF!),BDI!$E$17,IF(AND(#REF!="Diferenciado",$H$4=#REF!),BDI!#REF!,IF(#REF!="ZERO",0))))),"")</f>
        <v>#REF!</v>
      </c>
      <c r="H580" s="139" t="e">
        <f t="shared" ca="1" si="25"/>
        <v>#REF!</v>
      </c>
      <c r="I580" s="137" t="e">
        <f t="shared" ca="1" si="26"/>
        <v>#REF!</v>
      </c>
    </row>
    <row r="581" spans="1:9" hidden="1" x14ac:dyDescent="0.25">
      <c r="A581" s="114" t="s">
        <v>823</v>
      </c>
      <c r="B581" s="115" t="s">
        <v>2348</v>
      </c>
      <c r="C581" s="116" t="s">
        <v>94</v>
      </c>
      <c r="D581" s="116">
        <v>0</v>
      </c>
      <c r="E581" s="136">
        <f ca="1">OFFSET(INDEX(Composições!A:J,MATCH(Orçamentária!A581,Composições!A:A,0),8),2,0)</f>
        <v>2.3391374999999996</v>
      </c>
      <c r="F581" s="137">
        <f t="shared" ca="1" si="24"/>
        <v>0</v>
      </c>
      <c r="G581" s="138" t="e">
        <f>IF(A581&lt;&gt;"",IF(AND(#REF!="Padrão",$H$4=#REF!),BDI!$B$17,IF(AND(#REF!="Padrão",$H$4=#REF!),BDI!#REF!,IF(AND(#REF!="Diferenciado",$H$4=#REF!),BDI!$E$17,IF(AND(#REF!="Diferenciado",$H$4=#REF!),BDI!#REF!,IF(#REF!="ZERO",0))))),"")</f>
        <v>#REF!</v>
      </c>
      <c r="H581" s="139" t="e">
        <f t="shared" ca="1" si="25"/>
        <v>#REF!</v>
      </c>
      <c r="I581" s="137" t="e">
        <f t="shared" ca="1" si="26"/>
        <v>#REF!</v>
      </c>
    </row>
    <row r="582" spans="1:9" hidden="1" x14ac:dyDescent="0.25">
      <c r="A582" s="114" t="s">
        <v>825</v>
      </c>
      <c r="B582" s="115" t="s">
        <v>2349</v>
      </c>
      <c r="C582" s="116" t="s">
        <v>94</v>
      </c>
      <c r="D582" s="116">
        <v>0</v>
      </c>
      <c r="E582" s="136">
        <f ca="1">OFFSET(INDEX(Composições!A:J,MATCH(Orçamentária!A582,Composições!A:A,0),8),2,0)</f>
        <v>3.7900249999999995</v>
      </c>
      <c r="F582" s="137">
        <f t="shared" ca="1" si="24"/>
        <v>0</v>
      </c>
      <c r="G582" s="138" t="e">
        <f>IF(A582&lt;&gt;"",IF(AND(#REF!="Padrão",$H$4=#REF!),BDI!$B$17,IF(AND(#REF!="Padrão",$H$4=#REF!),BDI!#REF!,IF(AND(#REF!="Diferenciado",$H$4=#REF!),BDI!$E$17,IF(AND(#REF!="Diferenciado",$H$4=#REF!),BDI!#REF!,IF(#REF!="ZERO",0))))),"")</f>
        <v>#REF!</v>
      </c>
      <c r="H582" s="139" t="e">
        <f t="shared" ca="1" si="25"/>
        <v>#REF!</v>
      </c>
      <c r="I582" s="137" t="e">
        <f t="shared" ca="1" si="26"/>
        <v>#REF!</v>
      </c>
    </row>
    <row r="583" spans="1:9" hidden="1" x14ac:dyDescent="0.25">
      <c r="A583" s="114" t="s">
        <v>827</v>
      </c>
      <c r="B583" s="115" t="s">
        <v>2350</v>
      </c>
      <c r="C583" s="116" t="s">
        <v>94</v>
      </c>
      <c r="D583" s="116">
        <v>0</v>
      </c>
      <c r="E583" s="136">
        <f ca="1">OFFSET(INDEX(Composições!A:J,MATCH(Orçamentária!A583,Composições!A:A,0),8),2,0)</f>
        <v>5.5801479999999994</v>
      </c>
      <c r="F583" s="137">
        <f t="shared" ref="F583:F646" ca="1" si="27">IF(ISNUMBER(E583),D583*E583,"")</f>
        <v>0</v>
      </c>
      <c r="G583" s="138" t="e">
        <f>IF(A583&lt;&gt;"",IF(AND(#REF!="Padrão",$H$4=#REF!),BDI!$B$17,IF(AND(#REF!="Padrão",$H$4=#REF!),BDI!#REF!,IF(AND(#REF!="Diferenciado",$H$4=#REF!),BDI!$E$17,IF(AND(#REF!="Diferenciado",$H$4=#REF!),BDI!#REF!,IF(#REF!="ZERO",0))))),"")</f>
        <v>#REF!</v>
      </c>
      <c r="H583" s="139" t="e">
        <f t="shared" ref="H583:H646" ca="1" si="28">IF(ISNUMBER(E583),ROUND(E583*(1+G583),2),"")</f>
        <v>#REF!</v>
      </c>
      <c r="I583" s="137" t="e">
        <f t="shared" ref="I583:I646" ca="1" si="29">IF(ISNUMBER(E583),ROUND(H583*D583,2),"")</f>
        <v>#REF!</v>
      </c>
    </row>
    <row r="584" spans="1:9" hidden="1" x14ac:dyDescent="0.25">
      <c r="A584" s="114" t="s">
        <v>829</v>
      </c>
      <c r="B584" s="115" t="s">
        <v>2351</v>
      </c>
      <c r="C584" s="116" t="s">
        <v>94</v>
      </c>
      <c r="D584" s="116">
        <v>0</v>
      </c>
      <c r="E584" s="136">
        <f ca="1">OFFSET(INDEX(Composições!A:J,MATCH(Orçamentária!A584,Composições!A:A,0),8),2,0)</f>
        <v>7.547512499999999</v>
      </c>
      <c r="F584" s="137">
        <f t="shared" ca="1" si="27"/>
        <v>0</v>
      </c>
      <c r="G584" s="138" t="e">
        <f>IF(A584&lt;&gt;"",IF(AND(#REF!="Padrão",$H$4=#REF!),BDI!$B$17,IF(AND(#REF!="Padrão",$H$4=#REF!),BDI!#REF!,IF(AND(#REF!="Diferenciado",$H$4=#REF!),BDI!$E$17,IF(AND(#REF!="Diferenciado",$H$4=#REF!),BDI!#REF!,IF(#REF!="ZERO",0))))),"")</f>
        <v>#REF!</v>
      </c>
      <c r="H584" s="139" t="e">
        <f t="shared" ca="1" si="28"/>
        <v>#REF!</v>
      </c>
      <c r="I584" s="137" t="e">
        <f t="shared" ca="1" si="29"/>
        <v>#REF!</v>
      </c>
    </row>
    <row r="585" spans="1:9" hidden="1" x14ac:dyDescent="0.25">
      <c r="A585" s="114" t="s">
        <v>831</v>
      </c>
      <c r="B585" s="115" t="s">
        <v>2352</v>
      </c>
      <c r="C585" s="116" t="s">
        <v>42</v>
      </c>
      <c r="D585" s="116">
        <v>0</v>
      </c>
      <c r="E585" s="136">
        <f ca="1">OFFSET(INDEX(Composições!A:J,MATCH(Orçamentária!A585,Composições!A:A,0),8),2,0)</f>
        <v>18.838499999999996</v>
      </c>
      <c r="F585" s="137">
        <f t="shared" ca="1" si="27"/>
        <v>0</v>
      </c>
      <c r="G585" s="138" t="e">
        <f>IF(A585&lt;&gt;"",IF(AND(#REF!="Padrão",$H$4=#REF!),BDI!$B$17,IF(AND(#REF!="Padrão",$H$4=#REF!),BDI!#REF!,IF(AND(#REF!="Diferenciado",$H$4=#REF!),BDI!$E$17,IF(AND(#REF!="Diferenciado",$H$4=#REF!),BDI!#REF!,IF(#REF!="ZERO",0))))),"")</f>
        <v>#REF!</v>
      </c>
      <c r="H585" s="139" t="e">
        <f t="shared" ca="1" si="28"/>
        <v>#REF!</v>
      </c>
      <c r="I585" s="137" t="e">
        <f t="shared" ca="1" si="29"/>
        <v>#REF!</v>
      </c>
    </row>
    <row r="586" spans="1:9" hidden="1" x14ac:dyDescent="0.25">
      <c r="A586" s="114" t="s">
        <v>832</v>
      </c>
      <c r="B586" s="115" t="s">
        <v>2353</v>
      </c>
      <c r="C586" s="116" t="s">
        <v>42</v>
      </c>
      <c r="D586" s="116">
        <v>0</v>
      </c>
      <c r="E586" s="136">
        <f ca="1">OFFSET(INDEX(Composições!A:J,MATCH(Orçamentária!A586,Composições!A:A,0),8),2,0)</f>
        <v>43.300999999999995</v>
      </c>
      <c r="F586" s="137">
        <f t="shared" ca="1" si="27"/>
        <v>0</v>
      </c>
      <c r="G586" s="138" t="e">
        <f>IF(A586&lt;&gt;"",IF(AND(#REF!="Padrão",$H$4=#REF!),BDI!$B$17,IF(AND(#REF!="Padrão",$H$4=#REF!),BDI!#REF!,IF(AND(#REF!="Diferenciado",$H$4=#REF!),BDI!$E$17,IF(AND(#REF!="Diferenciado",$H$4=#REF!),BDI!#REF!,IF(#REF!="ZERO",0))))),"")</f>
        <v>#REF!</v>
      </c>
      <c r="H586" s="139" t="e">
        <f t="shared" ca="1" si="28"/>
        <v>#REF!</v>
      </c>
      <c r="I586" s="137" t="e">
        <f t="shared" ca="1" si="29"/>
        <v>#REF!</v>
      </c>
    </row>
    <row r="587" spans="1:9" hidden="1" x14ac:dyDescent="0.25">
      <c r="A587" s="114" t="s">
        <v>2354</v>
      </c>
      <c r="B587" s="115" t="s">
        <v>2355</v>
      </c>
      <c r="C587" s="116" t="s">
        <v>20</v>
      </c>
      <c r="D587" s="116">
        <v>0</v>
      </c>
      <c r="E587" s="136" t="s">
        <v>572</v>
      </c>
      <c r="F587" s="137" t="str">
        <f t="shared" si="27"/>
        <v/>
      </c>
      <c r="G587" s="138" t="e">
        <f>IF(A587&lt;&gt;"",IF(AND(#REF!="Padrão",$H$4=#REF!),BDI!$B$17,IF(AND(#REF!="Padrão",$H$4=#REF!),BDI!#REF!,IF(AND(#REF!="Diferenciado",$H$4=#REF!),BDI!$E$17,IF(AND(#REF!="Diferenciado",$H$4=#REF!),BDI!#REF!,IF(#REF!="ZERO",0))))),"")</f>
        <v>#REF!</v>
      </c>
      <c r="H587" s="139" t="str">
        <f t="shared" si="28"/>
        <v/>
      </c>
      <c r="I587" s="137" t="str">
        <f t="shared" si="29"/>
        <v/>
      </c>
    </row>
    <row r="588" spans="1:9" hidden="1" x14ac:dyDescent="0.25">
      <c r="A588" s="114" t="s">
        <v>2356</v>
      </c>
      <c r="B588" s="115" t="s">
        <v>2357</v>
      </c>
      <c r="C588" s="116" t="s">
        <v>20</v>
      </c>
      <c r="D588" s="116">
        <v>0</v>
      </c>
      <c r="E588" s="136">
        <f ca="1">OFFSET(INDEX(Composições!A:J,MATCH(Orçamentária!A588,Composições!A:A,0),8),2,0)</f>
        <v>18.515499999999999</v>
      </c>
      <c r="F588" s="137">
        <f t="shared" ca="1" si="27"/>
        <v>0</v>
      </c>
      <c r="G588" s="138" t="e">
        <f>IF(A588&lt;&gt;"",IF(AND(#REF!="Padrão",$H$4=#REF!),BDI!$B$17,IF(AND(#REF!="Padrão",$H$4=#REF!),BDI!#REF!,IF(AND(#REF!="Diferenciado",$H$4=#REF!),BDI!$E$17,IF(AND(#REF!="Diferenciado",$H$4=#REF!),BDI!#REF!,IF(#REF!="ZERO",0))))),"")</f>
        <v>#REF!</v>
      </c>
      <c r="H588" s="139" t="e">
        <f t="shared" ca="1" si="28"/>
        <v>#REF!</v>
      </c>
      <c r="I588" s="137" t="e">
        <f t="shared" ca="1" si="29"/>
        <v>#REF!</v>
      </c>
    </row>
    <row r="589" spans="1:9" hidden="1" x14ac:dyDescent="0.25">
      <c r="A589" s="114" t="s">
        <v>2358</v>
      </c>
      <c r="B589" s="115" t="s">
        <v>2359</v>
      </c>
      <c r="C589" s="116" t="s">
        <v>94</v>
      </c>
      <c r="D589" s="116">
        <v>0</v>
      </c>
      <c r="E589" s="136" t="s">
        <v>572</v>
      </c>
      <c r="F589" s="137" t="str">
        <f t="shared" si="27"/>
        <v/>
      </c>
      <c r="G589" s="138" t="e">
        <f>IF(A589&lt;&gt;"",IF(AND(#REF!="Padrão",$H$4=#REF!),BDI!$B$17,IF(AND(#REF!="Padrão",$H$4=#REF!),BDI!#REF!,IF(AND(#REF!="Diferenciado",$H$4=#REF!),BDI!$E$17,IF(AND(#REF!="Diferenciado",$H$4=#REF!),BDI!#REF!,IF(#REF!="ZERO",0))))),"")</f>
        <v>#REF!</v>
      </c>
      <c r="H589" s="139" t="str">
        <f t="shared" si="28"/>
        <v/>
      </c>
      <c r="I589" s="137" t="str">
        <f t="shared" si="29"/>
        <v/>
      </c>
    </row>
    <row r="590" spans="1:9" hidden="1" x14ac:dyDescent="0.25">
      <c r="A590" s="114" t="s">
        <v>2360</v>
      </c>
      <c r="B590" s="115" t="s">
        <v>2361</v>
      </c>
      <c r="C590" s="116" t="s">
        <v>94</v>
      </c>
      <c r="D590" s="116">
        <v>0</v>
      </c>
      <c r="E590" s="136" t="s">
        <v>572</v>
      </c>
      <c r="F590" s="137" t="str">
        <f t="shared" si="27"/>
        <v/>
      </c>
      <c r="G590" s="138" t="e">
        <f>IF(A590&lt;&gt;"",IF(AND(#REF!="Padrão",$H$4=#REF!),BDI!$B$17,IF(AND(#REF!="Padrão",$H$4=#REF!),BDI!#REF!,IF(AND(#REF!="Diferenciado",$H$4=#REF!),BDI!$E$17,IF(AND(#REF!="Diferenciado",$H$4=#REF!),BDI!#REF!,IF(#REF!="ZERO",0))))),"")</f>
        <v>#REF!</v>
      </c>
      <c r="H590" s="139" t="str">
        <f t="shared" si="28"/>
        <v/>
      </c>
      <c r="I590" s="137" t="str">
        <f t="shared" si="29"/>
        <v/>
      </c>
    </row>
    <row r="591" spans="1:9" hidden="1" x14ac:dyDescent="0.25">
      <c r="A591" s="114" t="s">
        <v>2362</v>
      </c>
      <c r="B591" s="115" t="s">
        <v>2363</v>
      </c>
      <c r="C591" s="116" t="s">
        <v>42</v>
      </c>
      <c r="D591" s="116">
        <v>0</v>
      </c>
      <c r="E591" s="136" t="s">
        <v>572</v>
      </c>
      <c r="F591" s="137" t="str">
        <f t="shared" si="27"/>
        <v/>
      </c>
      <c r="G591" s="138" t="e">
        <f>IF(A591&lt;&gt;"",IF(AND(#REF!="Padrão",$H$4=#REF!),BDI!$B$17,IF(AND(#REF!="Padrão",$H$4=#REF!),BDI!#REF!,IF(AND(#REF!="Diferenciado",$H$4=#REF!),BDI!$E$17,IF(AND(#REF!="Diferenciado",$H$4=#REF!),BDI!#REF!,IF(#REF!="ZERO",0))))),"")</f>
        <v>#REF!</v>
      </c>
      <c r="H591" s="139" t="str">
        <f t="shared" si="28"/>
        <v/>
      </c>
      <c r="I591" s="137" t="str">
        <f t="shared" si="29"/>
        <v/>
      </c>
    </row>
    <row r="592" spans="1:9" hidden="1" x14ac:dyDescent="0.25">
      <c r="A592" s="114" t="s">
        <v>2364</v>
      </c>
      <c r="B592" s="115" t="s">
        <v>2365</v>
      </c>
      <c r="C592" s="116" t="s">
        <v>105</v>
      </c>
      <c r="D592" s="116">
        <v>0</v>
      </c>
      <c r="E592" s="136" t="s">
        <v>572</v>
      </c>
      <c r="F592" s="137" t="str">
        <f t="shared" si="27"/>
        <v/>
      </c>
      <c r="G592" s="138" t="e">
        <f>IF(A592&lt;&gt;"",IF(AND(#REF!="Padrão",$H$4=#REF!),BDI!$B$17,IF(AND(#REF!="Padrão",$H$4=#REF!),BDI!#REF!,IF(AND(#REF!="Diferenciado",$H$4=#REF!),BDI!$E$17,IF(AND(#REF!="Diferenciado",$H$4=#REF!),BDI!#REF!,IF(#REF!="ZERO",0))))),"")</f>
        <v>#REF!</v>
      </c>
      <c r="H592" s="139" t="str">
        <f t="shared" si="28"/>
        <v/>
      </c>
      <c r="I592" s="137" t="str">
        <f t="shared" si="29"/>
        <v/>
      </c>
    </row>
    <row r="593" spans="1:9" hidden="1" x14ac:dyDescent="0.25">
      <c r="A593" s="114" t="s">
        <v>834</v>
      </c>
      <c r="B593" s="115" t="s">
        <v>2366</v>
      </c>
      <c r="C593" s="116" t="s">
        <v>105</v>
      </c>
      <c r="D593" s="116">
        <v>0</v>
      </c>
      <c r="E593" s="136">
        <f ca="1">OFFSET(INDEX(Composições!A:J,MATCH(Orçamentária!A593,Composições!A:A,0),8),2,0)</f>
        <v>5.8425000000000002</v>
      </c>
      <c r="F593" s="137">
        <f t="shared" ca="1" si="27"/>
        <v>0</v>
      </c>
      <c r="G593" s="138" t="e">
        <f>IF(A593&lt;&gt;"",IF(AND(#REF!="Padrão",$H$4=#REF!),BDI!$B$17,IF(AND(#REF!="Padrão",$H$4=#REF!),BDI!#REF!,IF(AND(#REF!="Diferenciado",$H$4=#REF!),BDI!$E$17,IF(AND(#REF!="Diferenciado",$H$4=#REF!),BDI!#REF!,IF(#REF!="ZERO",0))))),"")</f>
        <v>#REF!</v>
      </c>
      <c r="H593" s="139" t="e">
        <f t="shared" ca="1" si="28"/>
        <v>#REF!</v>
      </c>
      <c r="I593" s="137" t="e">
        <f t="shared" ca="1" si="29"/>
        <v>#REF!</v>
      </c>
    </row>
    <row r="594" spans="1:9" hidden="1" x14ac:dyDescent="0.25">
      <c r="A594" s="114" t="s">
        <v>2367</v>
      </c>
      <c r="B594" s="115" t="s">
        <v>2368</v>
      </c>
      <c r="C594" s="116" t="s">
        <v>105</v>
      </c>
      <c r="D594" s="116">
        <v>0</v>
      </c>
      <c r="E594" s="136" t="s">
        <v>572</v>
      </c>
      <c r="F594" s="137" t="str">
        <f t="shared" si="27"/>
        <v/>
      </c>
      <c r="G594" s="138" t="e">
        <f>IF(A594&lt;&gt;"",IF(AND(#REF!="Padrão",$H$4=#REF!),BDI!$B$17,IF(AND(#REF!="Padrão",$H$4=#REF!),BDI!#REF!,IF(AND(#REF!="Diferenciado",$H$4=#REF!),BDI!$E$17,IF(AND(#REF!="Diferenciado",$H$4=#REF!),BDI!#REF!,IF(#REF!="ZERO",0))))),"")</f>
        <v>#REF!</v>
      </c>
      <c r="H594" s="139" t="str">
        <f t="shared" si="28"/>
        <v/>
      </c>
      <c r="I594" s="137" t="str">
        <f t="shared" si="29"/>
        <v/>
      </c>
    </row>
    <row r="595" spans="1:9" hidden="1" x14ac:dyDescent="0.25">
      <c r="A595" s="114" t="s">
        <v>2369</v>
      </c>
      <c r="B595" s="115" t="s">
        <v>2370</v>
      </c>
      <c r="C595" s="116" t="s">
        <v>94</v>
      </c>
      <c r="D595" s="116">
        <v>0</v>
      </c>
      <c r="E595" s="136" t="s">
        <v>572</v>
      </c>
      <c r="F595" s="137" t="str">
        <f t="shared" si="27"/>
        <v/>
      </c>
      <c r="G595" s="138" t="e">
        <f>IF(A595&lt;&gt;"",IF(AND(#REF!="Padrão",$H$4=#REF!),BDI!$B$17,IF(AND(#REF!="Padrão",$H$4=#REF!),BDI!#REF!,IF(AND(#REF!="Diferenciado",$H$4=#REF!),BDI!$E$17,IF(AND(#REF!="Diferenciado",$H$4=#REF!),BDI!#REF!,IF(#REF!="ZERO",0))))),"")</f>
        <v>#REF!</v>
      </c>
      <c r="H595" s="139" t="str">
        <f t="shared" si="28"/>
        <v/>
      </c>
      <c r="I595" s="137" t="str">
        <f t="shared" si="29"/>
        <v/>
      </c>
    </row>
    <row r="596" spans="1:9" hidden="1" x14ac:dyDescent="0.25">
      <c r="A596" s="114" t="s">
        <v>2371</v>
      </c>
      <c r="B596" s="115" t="s">
        <v>2372</v>
      </c>
      <c r="C596" s="116" t="s">
        <v>94</v>
      </c>
      <c r="D596" s="116">
        <v>0</v>
      </c>
      <c r="E596" s="136" t="s">
        <v>572</v>
      </c>
      <c r="F596" s="137" t="str">
        <f t="shared" si="27"/>
        <v/>
      </c>
      <c r="G596" s="138" t="e">
        <f>IF(A596&lt;&gt;"",IF(AND(#REF!="Padrão",$H$4=#REF!),BDI!$B$17,IF(AND(#REF!="Padrão",$H$4=#REF!),BDI!#REF!,IF(AND(#REF!="Diferenciado",$H$4=#REF!),BDI!$E$17,IF(AND(#REF!="Diferenciado",$H$4=#REF!),BDI!#REF!,IF(#REF!="ZERO",0))))),"")</f>
        <v>#REF!</v>
      </c>
      <c r="H596" s="139" t="str">
        <f t="shared" si="28"/>
        <v/>
      </c>
      <c r="I596" s="137" t="str">
        <f t="shared" si="29"/>
        <v/>
      </c>
    </row>
    <row r="597" spans="1:9" hidden="1" x14ac:dyDescent="0.25">
      <c r="A597" s="114" t="s">
        <v>2373</v>
      </c>
      <c r="B597" s="115" t="s">
        <v>2374</v>
      </c>
      <c r="C597" s="116" t="s">
        <v>96</v>
      </c>
      <c r="D597" s="116">
        <v>0</v>
      </c>
      <c r="E597" s="136">
        <f ca="1">OFFSET(INDEX(Composições!A:J,MATCH(Orçamentária!A597,Composições!A:A,0),8),2,0)</f>
        <v>1.0924999999999998</v>
      </c>
      <c r="F597" s="137">
        <f t="shared" ca="1" si="27"/>
        <v>0</v>
      </c>
      <c r="G597" s="138" t="e">
        <f>IF(A597&lt;&gt;"",IF(AND(#REF!="Padrão",$H$4=#REF!),BDI!$B$17,IF(AND(#REF!="Padrão",$H$4=#REF!),BDI!#REF!,IF(AND(#REF!="Diferenciado",$H$4=#REF!),BDI!$E$17,IF(AND(#REF!="Diferenciado",$H$4=#REF!),BDI!#REF!,IF(#REF!="ZERO",0))))),"")</f>
        <v>#REF!</v>
      </c>
      <c r="H597" s="139" t="e">
        <f t="shared" ca="1" si="28"/>
        <v>#REF!</v>
      </c>
      <c r="I597" s="137" t="e">
        <f t="shared" ca="1" si="29"/>
        <v>#REF!</v>
      </c>
    </row>
    <row r="598" spans="1:9" hidden="1" x14ac:dyDescent="0.25">
      <c r="A598" s="114" t="s">
        <v>2375</v>
      </c>
      <c r="B598" s="115" t="s">
        <v>2376</v>
      </c>
      <c r="C598" s="116" t="s">
        <v>20</v>
      </c>
      <c r="D598" s="116">
        <v>0</v>
      </c>
      <c r="E598" s="136" t="s">
        <v>572</v>
      </c>
      <c r="F598" s="137" t="str">
        <f t="shared" si="27"/>
        <v/>
      </c>
      <c r="G598" s="138" t="e">
        <f>IF(A598&lt;&gt;"",IF(AND(#REF!="Padrão",$H$4=#REF!),BDI!$B$17,IF(AND(#REF!="Padrão",$H$4=#REF!),BDI!#REF!,IF(AND(#REF!="Diferenciado",$H$4=#REF!),BDI!$E$17,IF(AND(#REF!="Diferenciado",$H$4=#REF!),BDI!#REF!,IF(#REF!="ZERO",0))))),"")</f>
        <v>#REF!</v>
      </c>
      <c r="H598" s="139" t="str">
        <f t="shared" si="28"/>
        <v/>
      </c>
      <c r="I598" s="137" t="str">
        <f t="shared" si="29"/>
        <v/>
      </c>
    </row>
    <row r="599" spans="1:9" hidden="1" x14ac:dyDescent="0.25">
      <c r="A599" s="114" t="s">
        <v>2377</v>
      </c>
      <c r="B599" s="115" t="s">
        <v>2378</v>
      </c>
      <c r="C599" s="116" t="s">
        <v>20</v>
      </c>
      <c r="D599" s="116">
        <v>0</v>
      </c>
      <c r="E599" s="136" t="s">
        <v>572</v>
      </c>
      <c r="F599" s="137" t="str">
        <f t="shared" si="27"/>
        <v/>
      </c>
      <c r="G599" s="138" t="e">
        <f>IF(A599&lt;&gt;"",IF(AND(#REF!="Padrão",$H$4=#REF!),BDI!$B$17,IF(AND(#REF!="Padrão",$H$4=#REF!),BDI!#REF!,IF(AND(#REF!="Diferenciado",$H$4=#REF!),BDI!$E$17,IF(AND(#REF!="Diferenciado",$H$4=#REF!),BDI!#REF!,IF(#REF!="ZERO",0))))),"")</f>
        <v>#REF!</v>
      </c>
      <c r="H599" s="139" t="str">
        <f t="shared" si="28"/>
        <v/>
      </c>
      <c r="I599" s="137" t="str">
        <f t="shared" si="29"/>
        <v/>
      </c>
    </row>
    <row r="600" spans="1:9" hidden="1" x14ac:dyDescent="0.25">
      <c r="A600" s="114" t="s">
        <v>2379</v>
      </c>
      <c r="B600" s="115" t="s">
        <v>2380</v>
      </c>
      <c r="C600" s="116" t="s">
        <v>20</v>
      </c>
      <c r="D600" s="116">
        <v>0</v>
      </c>
      <c r="E600" s="136" t="s">
        <v>572</v>
      </c>
      <c r="F600" s="137" t="str">
        <f t="shared" si="27"/>
        <v/>
      </c>
      <c r="G600" s="138" t="e">
        <f>IF(A600&lt;&gt;"",IF(AND(#REF!="Padrão",$H$4=#REF!),BDI!$B$17,IF(AND(#REF!="Padrão",$H$4=#REF!),BDI!#REF!,IF(AND(#REF!="Diferenciado",$H$4=#REF!),BDI!$E$17,IF(AND(#REF!="Diferenciado",$H$4=#REF!),BDI!#REF!,IF(#REF!="ZERO",0))))),"")</f>
        <v>#REF!</v>
      </c>
      <c r="H600" s="139" t="str">
        <f t="shared" si="28"/>
        <v/>
      </c>
      <c r="I600" s="137" t="str">
        <f t="shared" si="29"/>
        <v/>
      </c>
    </row>
    <row r="601" spans="1:9" hidden="1" x14ac:dyDescent="0.25">
      <c r="A601" s="114" t="s">
        <v>2381</v>
      </c>
      <c r="B601" s="115" t="s">
        <v>2382</v>
      </c>
      <c r="C601" s="116" t="s">
        <v>20</v>
      </c>
      <c r="D601" s="116">
        <v>0</v>
      </c>
      <c r="E601" s="136" t="s">
        <v>572</v>
      </c>
      <c r="F601" s="137" t="str">
        <f t="shared" si="27"/>
        <v/>
      </c>
      <c r="G601" s="138" t="e">
        <f>IF(A601&lt;&gt;"",IF(AND(#REF!="Padrão",$H$4=#REF!),BDI!$B$17,IF(AND(#REF!="Padrão",$H$4=#REF!),BDI!#REF!,IF(AND(#REF!="Diferenciado",$H$4=#REF!),BDI!$E$17,IF(AND(#REF!="Diferenciado",$H$4=#REF!),BDI!#REF!,IF(#REF!="ZERO",0))))),"")</f>
        <v>#REF!</v>
      </c>
      <c r="H601" s="139" t="str">
        <f t="shared" si="28"/>
        <v/>
      </c>
      <c r="I601" s="137" t="str">
        <f t="shared" si="29"/>
        <v/>
      </c>
    </row>
    <row r="602" spans="1:9" hidden="1" x14ac:dyDescent="0.25">
      <c r="A602" s="114" t="s">
        <v>2383</v>
      </c>
      <c r="B602" s="115" t="s">
        <v>2384</v>
      </c>
      <c r="C602" s="116" t="s">
        <v>20</v>
      </c>
      <c r="D602" s="116">
        <v>0</v>
      </c>
      <c r="E602" s="136" t="s">
        <v>572</v>
      </c>
      <c r="F602" s="137" t="str">
        <f t="shared" si="27"/>
        <v/>
      </c>
      <c r="G602" s="138" t="e">
        <f>IF(A602&lt;&gt;"",IF(AND(#REF!="Padrão",$H$4=#REF!),BDI!$B$17,IF(AND(#REF!="Padrão",$H$4=#REF!),BDI!#REF!,IF(AND(#REF!="Diferenciado",$H$4=#REF!),BDI!$E$17,IF(AND(#REF!="Diferenciado",$H$4=#REF!),BDI!#REF!,IF(#REF!="ZERO",0))))),"")</f>
        <v>#REF!</v>
      </c>
      <c r="H602" s="139" t="str">
        <f t="shared" si="28"/>
        <v/>
      </c>
      <c r="I602" s="137" t="str">
        <f t="shared" si="29"/>
        <v/>
      </c>
    </row>
    <row r="603" spans="1:9" hidden="1" x14ac:dyDescent="0.25">
      <c r="A603" s="114" t="s">
        <v>2385</v>
      </c>
      <c r="B603" s="115" t="s">
        <v>2386</v>
      </c>
      <c r="C603" s="116" t="s">
        <v>20</v>
      </c>
      <c r="D603" s="116">
        <v>0</v>
      </c>
      <c r="E603" s="136" t="s">
        <v>572</v>
      </c>
      <c r="F603" s="137" t="str">
        <f t="shared" si="27"/>
        <v/>
      </c>
      <c r="G603" s="138" t="e">
        <f>IF(A603&lt;&gt;"",IF(AND(#REF!="Padrão",$H$4=#REF!),BDI!$B$17,IF(AND(#REF!="Padrão",$H$4=#REF!),BDI!#REF!,IF(AND(#REF!="Diferenciado",$H$4=#REF!),BDI!$E$17,IF(AND(#REF!="Diferenciado",$H$4=#REF!),BDI!#REF!,IF(#REF!="ZERO",0))))),"")</f>
        <v>#REF!</v>
      </c>
      <c r="H603" s="139" t="str">
        <f t="shared" si="28"/>
        <v/>
      </c>
      <c r="I603" s="137" t="str">
        <f t="shared" si="29"/>
        <v/>
      </c>
    </row>
    <row r="604" spans="1:9" hidden="1" x14ac:dyDescent="0.25">
      <c r="A604" s="114" t="s">
        <v>2387</v>
      </c>
      <c r="B604" s="115" t="s">
        <v>2388</v>
      </c>
      <c r="C604" s="116" t="s">
        <v>20</v>
      </c>
      <c r="D604" s="116">
        <v>0</v>
      </c>
      <c r="E604" s="136" t="s">
        <v>572</v>
      </c>
      <c r="F604" s="137" t="str">
        <f t="shared" si="27"/>
        <v/>
      </c>
      <c r="G604" s="138" t="e">
        <f>IF(A604&lt;&gt;"",IF(AND(#REF!="Padrão",$H$4=#REF!),BDI!$B$17,IF(AND(#REF!="Padrão",$H$4=#REF!),BDI!#REF!,IF(AND(#REF!="Diferenciado",$H$4=#REF!),BDI!$E$17,IF(AND(#REF!="Diferenciado",$H$4=#REF!),BDI!#REF!,IF(#REF!="ZERO",0))))),"")</f>
        <v>#REF!</v>
      </c>
      <c r="H604" s="139" t="str">
        <f t="shared" si="28"/>
        <v/>
      </c>
      <c r="I604" s="137" t="str">
        <f t="shared" si="29"/>
        <v/>
      </c>
    </row>
    <row r="605" spans="1:9" hidden="1" x14ac:dyDescent="0.25">
      <c r="A605" s="114" t="s">
        <v>2389</v>
      </c>
      <c r="B605" s="115" t="s">
        <v>2390</v>
      </c>
      <c r="C605" s="116" t="s">
        <v>20</v>
      </c>
      <c r="D605" s="116">
        <v>0</v>
      </c>
      <c r="E605" s="136" t="s">
        <v>572</v>
      </c>
      <c r="F605" s="137" t="str">
        <f t="shared" si="27"/>
        <v/>
      </c>
      <c r="G605" s="138" t="e">
        <f>IF(A605&lt;&gt;"",IF(AND(#REF!="Padrão",$H$4=#REF!),BDI!$B$17,IF(AND(#REF!="Padrão",$H$4=#REF!),BDI!#REF!,IF(AND(#REF!="Diferenciado",$H$4=#REF!),BDI!$E$17,IF(AND(#REF!="Diferenciado",$H$4=#REF!),BDI!#REF!,IF(#REF!="ZERO",0))))),"")</f>
        <v>#REF!</v>
      </c>
      <c r="H605" s="139" t="str">
        <f t="shared" si="28"/>
        <v/>
      </c>
      <c r="I605" s="137" t="str">
        <f t="shared" si="29"/>
        <v/>
      </c>
    </row>
    <row r="606" spans="1:9" hidden="1" x14ac:dyDescent="0.25">
      <c r="A606" s="114" t="s">
        <v>2391</v>
      </c>
      <c r="B606" s="115" t="s">
        <v>2392</v>
      </c>
      <c r="C606" s="116" t="s">
        <v>20</v>
      </c>
      <c r="D606" s="116">
        <v>0</v>
      </c>
      <c r="E606" s="136" t="s">
        <v>572</v>
      </c>
      <c r="F606" s="137" t="str">
        <f t="shared" si="27"/>
        <v/>
      </c>
      <c r="G606" s="138" t="e">
        <f>IF(A606&lt;&gt;"",IF(AND(#REF!="Padrão",$H$4=#REF!),BDI!$B$17,IF(AND(#REF!="Padrão",$H$4=#REF!),BDI!#REF!,IF(AND(#REF!="Diferenciado",$H$4=#REF!),BDI!$E$17,IF(AND(#REF!="Diferenciado",$H$4=#REF!),BDI!#REF!,IF(#REF!="ZERO",0))))),"")</f>
        <v>#REF!</v>
      </c>
      <c r="H606" s="139" t="str">
        <f t="shared" si="28"/>
        <v/>
      </c>
      <c r="I606" s="137" t="str">
        <f t="shared" si="29"/>
        <v/>
      </c>
    </row>
    <row r="607" spans="1:9" hidden="1" x14ac:dyDescent="0.25">
      <c r="A607" s="114" t="s">
        <v>2393</v>
      </c>
      <c r="B607" s="115" t="s">
        <v>2394</v>
      </c>
      <c r="C607" s="116" t="s">
        <v>20</v>
      </c>
      <c r="D607" s="116">
        <v>0</v>
      </c>
      <c r="E607" s="136" t="s">
        <v>572</v>
      </c>
      <c r="F607" s="137" t="str">
        <f t="shared" si="27"/>
        <v/>
      </c>
      <c r="G607" s="138" t="e">
        <f>IF(A607&lt;&gt;"",IF(AND(#REF!="Padrão",$H$4=#REF!),BDI!$B$17,IF(AND(#REF!="Padrão",$H$4=#REF!),BDI!#REF!,IF(AND(#REF!="Diferenciado",$H$4=#REF!),BDI!$E$17,IF(AND(#REF!="Diferenciado",$H$4=#REF!),BDI!#REF!,IF(#REF!="ZERO",0))))),"")</f>
        <v>#REF!</v>
      </c>
      <c r="H607" s="139" t="str">
        <f t="shared" si="28"/>
        <v/>
      </c>
      <c r="I607" s="137" t="str">
        <f t="shared" si="29"/>
        <v/>
      </c>
    </row>
    <row r="608" spans="1:9" hidden="1" x14ac:dyDescent="0.25">
      <c r="A608" s="114" t="s">
        <v>2395</v>
      </c>
      <c r="B608" s="115" t="s">
        <v>2396</v>
      </c>
      <c r="C608" s="116" t="s">
        <v>20</v>
      </c>
      <c r="D608" s="116">
        <v>0</v>
      </c>
      <c r="E608" s="136" t="s">
        <v>572</v>
      </c>
      <c r="F608" s="137" t="str">
        <f t="shared" si="27"/>
        <v/>
      </c>
      <c r="G608" s="138" t="e">
        <f>IF(A608&lt;&gt;"",IF(AND(#REF!="Padrão",$H$4=#REF!),BDI!$B$17,IF(AND(#REF!="Padrão",$H$4=#REF!),BDI!#REF!,IF(AND(#REF!="Diferenciado",$H$4=#REF!),BDI!$E$17,IF(AND(#REF!="Diferenciado",$H$4=#REF!),BDI!#REF!,IF(#REF!="ZERO",0))))),"")</f>
        <v>#REF!</v>
      </c>
      <c r="H608" s="139" t="str">
        <f t="shared" si="28"/>
        <v/>
      </c>
      <c r="I608" s="137" t="str">
        <f t="shared" si="29"/>
        <v/>
      </c>
    </row>
    <row r="609" spans="1:9" hidden="1" x14ac:dyDescent="0.25">
      <c r="A609" s="114" t="s">
        <v>2397</v>
      </c>
      <c r="B609" s="115" t="s">
        <v>2398</v>
      </c>
      <c r="C609" s="116" t="s">
        <v>20</v>
      </c>
      <c r="D609" s="116">
        <v>0</v>
      </c>
      <c r="E609" s="136" t="s">
        <v>572</v>
      </c>
      <c r="F609" s="137" t="str">
        <f t="shared" si="27"/>
        <v/>
      </c>
      <c r="G609" s="138" t="e">
        <f>IF(A609&lt;&gt;"",IF(AND(#REF!="Padrão",$H$4=#REF!),BDI!$B$17,IF(AND(#REF!="Padrão",$H$4=#REF!),BDI!#REF!,IF(AND(#REF!="Diferenciado",$H$4=#REF!),BDI!$E$17,IF(AND(#REF!="Diferenciado",$H$4=#REF!),BDI!#REF!,IF(#REF!="ZERO",0))))),"")</f>
        <v>#REF!</v>
      </c>
      <c r="H609" s="139" t="str">
        <f t="shared" si="28"/>
        <v/>
      </c>
      <c r="I609" s="137" t="str">
        <f t="shared" si="29"/>
        <v/>
      </c>
    </row>
    <row r="610" spans="1:9" hidden="1" x14ac:dyDescent="0.25">
      <c r="A610" s="114" t="s">
        <v>2399</v>
      </c>
      <c r="B610" s="115" t="s">
        <v>2400</v>
      </c>
      <c r="C610" s="116" t="s">
        <v>20</v>
      </c>
      <c r="D610" s="116">
        <v>0</v>
      </c>
      <c r="E610" s="136" t="s">
        <v>572</v>
      </c>
      <c r="F610" s="137" t="str">
        <f t="shared" si="27"/>
        <v/>
      </c>
      <c r="G610" s="138" t="e">
        <f>IF(A610&lt;&gt;"",IF(AND(#REF!="Padrão",$H$4=#REF!),BDI!$B$17,IF(AND(#REF!="Padrão",$H$4=#REF!),BDI!#REF!,IF(AND(#REF!="Diferenciado",$H$4=#REF!),BDI!$E$17,IF(AND(#REF!="Diferenciado",$H$4=#REF!),BDI!#REF!,IF(#REF!="ZERO",0))))),"")</f>
        <v>#REF!</v>
      </c>
      <c r="H610" s="139" t="str">
        <f t="shared" si="28"/>
        <v/>
      </c>
      <c r="I610" s="137" t="str">
        <f t="shared" si="29"/>
        <v/>
      </c>
    </row>
    <row r="611" spans="1:9" hidden="1" x14ac:dyDescent="0.25">
      <c r="A611" s="114" t="s">
        <v>2401</v>
      </c>
      <c r="B611" s="115" t="s">
        <v>2402</v>
      </c>
      <c r="C611" s="116" t="s">
        <v>20</v>
      </c>
      <c r="D611" s="116">
        <v>0</v>
      </c>
      <c r="E611" s="136" t="s">
        <v>572</v>
      </c>
      <c r="F611" s="137" t="str">
        <f t="shared" si="27"/>
        <v/>
      </c>
      <c r="G611" s="138" t="e">
        <f>IF(A611&lt;&gt;"",IF(AND(#REF!="Padrão",$H$4=#REF!),BDI!$B$17,IF(AND(#REF!="Padrão",$H$4=#REF!),BDI!#REF!,IF(AND(#REF!="Diferenciado",$H$4=#REF!),BDI!$E$17,IF(AND(#REF!="Diferenciado",$H$4=#REF!),BDI!#REF!,IF(#REF!="ZERO",0))))),"")</f>
        <v>#REF!</v>
      </c>
      <c r="H611" s="139" t="str">
        <f t="shared" si="28"/>
        <v/>
      </c>
      <c r="I611" s="137" t="str">
        <f t="shared" si="29"/>
        <v/>
      </c>
    </row>
    <row r="612" spans="1:9" hidden="1" x14ac:dyDescent="0.25">
      <c r="A612" s="114" t="s">
        <v>2403</v>
      </c>
      <c r="B612" s="115" t="s">
        <v>2404</v>
      </c>
      <c r="C612" s="116" t="s">
        <v>20</v>
      </c>
      <c r="D612" s="116">
        <v>0</v>
      </c>
      <c r="E612" s="136" t="s">
        <v>572</v>
      </c>
      <c r="F612" s="137" t="str">
        <f t="shared" si="27"/>
        <v/>
      </c>
      <c r="G612" s="138" t="e">
        <f>IF(A612&lt;&gt;"",IF(AND(#REF!="Padrão",$H$4=#REF!),BDI!$B$17,IF(AND(#REF!="Padrão",$H$4=#REF!),BDI!#REF!,IF(AND(#REF!="Diferenciado",$H$4=#REF!),BDI!$E$17,IF(AND(#REF!="Diferenciado",$H$4=#REF!),BDI!#REF!,IF(#REF!="ZERO",0))))),"")</f>
        <v>#REF!</v>
      </c>
      <c r="H612" s="139" t="str">
        <f t="shared" si="28"/>
        <v/>
      </c>
      <c r="I612" s="137" t="str">
        <f t="shared" si="29"/>
        <v/>
      </c>
    </row>
    <row r="613" spans="1:9" hidden="1" x14ac:dyDescent="0.25">
      <c r="A613" s="114" t="s">
        <v>2405</v>
      </c>
      <c r="B613" s="115" t="s">
        <v>2406</v>
      </c>
      <c r="C613" s="116" t="s">
        <v>20</v>
      </c>
      <c r="D613" s="116">
        <v>0</v>
      </c>
      <c r="E613" s="136" t="s">
        <v>572</v>
      </c>
      <c r="F613" s="137" t="str">
        <f t="shared" si="27"/>
        <v/>
      </c>
      <c r="G613" s="138" t="e">
        <f>IF(A613&lt;&gt;"",IF(AND(#REF!="Padrão",$H$4=#REF!),BDI!$B$17,IF(AND(#REF!="Padrão",$H$4=#REF!),BDI!#REF!,IF(AND(#REF!="Diferenciado",$H$4=#REF!),BDI!$E$17,IF(AND(#REF!="Diferenciado",$H$4=#REF!),BDI!#REF!,IF(#REF!="ZERO",0))))),"")</f>
        <v>#REF!</v>
      </c>
      <c r="H613" s="139" t="str">
        <f t="shared" si="28"/>
        <v/>
      </c>
      <c r="I613" s="137" t="str">
        <f t="shared" si="29"/>
        <v/>
      </c>
    </row>
    <row r="614" spans="1:9" hidden="1" x14ac:dyDescent="0.25">
      <c r="A614" s="114" t="s">
        <v>2407</v>
      </c>
      <c r="B614" s="115" t="s">
        <v>2408</v>
      </c>
      <c r="C614" s="116" t="s">
        <v>20</v>
      </c>
      <c r="D614" s="116">
        <v>0</v>
      </c>
      <c r="E614" s="136" t="s">
        <v>572</v>
      </c>
      <c r="F614" s="137" t="str">
        <f t="shared" si="27"/>
        <v/>
      </c>
      <c r="G614" s="138" t="e">
        <f>IF(A614&lt;&gt;"",IF(AND(#REF!="Padrão",$H$4=#REF!),BDI!$B$17,IF(AND(#REF!="Padrão",$H$4=#REF!),BDI!#REF!,IF(AND(#REF!="Diferenciado",$H$4=#REF!),BDI!$E$17,IF(AND(#REF!="Diferenciado",$H$4=#REF!),BDI!#REF!,IF(#REF!="ZERO",0))))),"")</f>
        <v>#REF!</v>
      </c>
      <c r="H614" s="139" t="str">
        <f t="shared" si="28"/>
        <v/>
      </c>
      <c r="I614" s="137" t="str">
        <f t="shared" si="29"/>
        <v/>
      </c>
    </row>
    <row r="615" spans="1:9" hidden="1" x14ac:dyDescent="0.25">
      <c r="A615" s="114" t="s">
        <v>2409</v>
      </c>
      <c r="B615" s="115" t="s">
        <v>2410</v>
      </c>
      <c r="C615" s="116" t="s">
        <v>20</v>
      </c>
      <c r="D615" s="116">
        <v>0</v>
      </c>
      <c r="E615" s="136" t="s">
        <v>572</v>
      </c>
      <c r="F615" s="137" t="str">
        <f t="shared" si="27"/>
        <v/>
      </c>
      <c r="G615" s="138" t="e">
        <f>IF(A615&lt;&gt;"",IF(AND(#REF!="Padrão",$H$4=#REF!),BDI!$B$17,IF(AND(#REF!="Padrão",$H$4=#REF!),BDI!#REF!,IF(AND(#REF!="Diferenciado",$H$4=#REF!),BDI!$E$17,IF(AND(#REF!="Diferenciado",$H$4=#REF!),BDI!#REF!,IF(#REF!="ZERO",0))))),"")</f>
        <v>#REF!</v>
      </c>
      <c r="H615" s="139" t="str">
        <f t="shared" si="28"/>
        <v/>
      </c>
      <c r="I615" s="137" t="str">
        <f t="shared" si="29"/>
        <v/>
      </c>
    </row>
    <row r="616" spans="1:9" hidden="1" x14ac:dyDescent="0.25">
      <c r="A616" s="114" t="s">
        <v>2411</v>
      </c>
      <c r="B616" s="115" t="s">
        <v>2412</v>
      </c>
      <c r="C616" s="116" t="s">
        <v>20</v>
      </c>
      <c r="D616" s="116">
        <v>0</v>
      </c>
      <c r="E616" s="136" t="s">
        <v>572</v>
      </c>
      <c r="F616" s="137" t="str">
        <f t="shared" si="27"/>
        <v/>
      </c>
      <c r="G616" s="138" t="e">
        <f>IF(A616&lt;&gt;"",IF(AND(#REF!="Padrão",$H$4=#REF!),BDI!$B$17,IF(AND(#REF!="Padrão",$H$4=#REF!),BDI!#REF!,IF(AND(#REF!="Diferenciado",$H$4=#REF!),BDI!$E$17,IF(AND(#REF!="Diferenciado",$H$4=#REF!),BDI!#REF!,IF(#REF!="ZERO",0))))),"")</f>
        <v>#REF!</v>
      </c>
      <c r="H616" s="139" t="str">
        <f t="shared" si="28"/>
        <v/>
      </c>
      <c r="I616" s="137" t="str">
        <f t="shared" si="29"/>
        <v/>
      </c>
    </row>
    <row r="617" spans="1:9" hidden="1" x14ac:dyDescent="0.25">
      <c r="A617" s="114" t="s">
        <v>2413</v>
      </c>
      <c r="B617" s="115" t="s">
        <v>2414</v>
      </c>
      <c r="C617" s="116" t="s">
        <v>20</v>
      </c>
      <c r="D617" s="116">
        <v>0</v>
      </c>
      <c r="E617" s="136" t="s">
        <v>572</v>
      </c>
      <c r="F617" s="137" t="str">
        <f t="shared" si="27"/>
        <v/>
      </c>
      <c r="G617" s="138" t="e">
        <f>IF(A617&lt;&gt;"",IF(AND(#REF!="Padrão",$H$4=#REF!),BDI!$B$17,IF(AND(#REF!="Padrão",$H$4=#REF!),BDI!#REF!,IF(AND(#REF!="Diferenciado",$H$4=#REF!),BDI!$E$17,IF(AND(#REF!="Diferenciado",$H$4=#REF!),BDI!#REF!,IF(#REF!="ZERO",0))))),"")</f>
        <v>#REF!</v>
      </c>
      <c r="H617" s="139" t="str">
        <f t="shared" si="28"/>
        <v/>
      </c>
      <c r="I617" s="137" t="str">
        <f t="shared" si="29"/>
        <v/>
      </c>
    </row>
    <row r="618" spans="1:9" hidden="1" x14ac:dyDescent="0.25">
      <c r="A618" s="114" t="s">
        <v>2415</v>
      </c>
      <c r="B618" s="115" t="s">
        <v>2416</v>
      </c>
      <c r="C618" s="116" t="s">
        <v>20</v>
      </c>
      <c r="D618" s="116">
        <v>0</v>
      </c>
      <c r="E618" s="136" t="s">
        <v>572</v>
      </c>
      <c r="F618" s="137" t="str">
        <f t="shared" si="27"/>
        <v/>
      </c>
      <c r="G618" s="138" t="e">
        <f>IF(A618&lt;&gt;"",IF(AND(#REF!="Padrão",$H$4=#REF!),BDI!$B$17,IF(AND(#REF!="Padrão",$H$4=#REF!),BDI!#REF!,IF(AND(#REF!="Diferenciado",$H$4=#REF!),BDI!$E$17,IF(AND(#REF!="Diferenciado",$H$4=#REF!),BDI!#REF!,IF(#REF!="ZERO",0))))),"")</f>
        <v>#REF!</v>
      </c>
      <c r="H618" s="139" t="str">
        <f t="shared" si="28"/>
        <v/>
      </c>
      <c r="I618" s="137" t="str">
        <f t="shared" si="29"/>
        <v/>
      </c>
    </row>
    <row r="619" spans="1:9" hidden="1" x14ac:dyDescent="0.25">
      <c r="A619" s="114" t="s">
        <v>2417</v>
      </c>
      <c r="B619" s="115" t="s">
        <v>2418</v>
      </c>
      <c r="C619" s="116" t="s">
        <v>20</v>
      </c>
      <c r="D619" s="116">
        <v>0</v>
      </c>
      <c r="E619" s="136" t="s">
        <v>572</v>
      </c>
      <c r="F619" s="137" t="str">
        <f t="shared" si="27"/>
        <v/>
      </c>
      <c r="G619" s="138" t="e">
        <f>IF(A619&lt;&gt;"",IF(AND(#REF!="Padrão",$H$4=#REF!),BDI!$B$17,IF(AND(#REF!="Padrão",$H$4=#REF!),BDI!#REF!,IF(AND(#REF!="Diferenciado",$H$4=#REF!),BDI!$E$17,IF(AND(#REF!="Diferenciado",$H$4=#REF!),BDI!#REF!,IF(#REF!="ZERO",0))))),"")</f>
        <v>#REF!</v>
      </c>
      <c r="H619" s="139" t="str">
        <f t="shared" si="28"/>
        <v/>
      </c>
      <c r="I619" s="137" t="str">
        <f t="shared" si="29"/>
        <v/>
      </c>
    </row>
    <row r="620" spans="1:9" hidden="1" x14ac:dyDescent="0.25">
      <c r="A620" s="114" t="s">
        <v>2419</v>
      </c>
      <c r="B620" s="115" t="s">
        <v>2420</v>
      </c>
      <c r="C620" s="116" t="s">
        <v>20</v>
      </c>
      <c r="D620" s="116">
        <v>0</v>
      </c>
      <c r="E620" s="136" t="s">
        <v>572</v>
      </c>
      <c r="F620" s="137" t="str">
        <f t="shared" si="27"/>
        <v/>
      </c>
      <c r="G620" s="138" t="e">
        <f>IF(A620&lt;&gt;"",IF(AND(#REF!="Padrão",$H$4=#REF!),BDI!$B$17,IF(AND(#REF!="Padrão",$H$4=#REF!),BDI!#REF!,IF(AND(#REF!="Diferenciado",$H$4=#REF!),BDI!$E$17,IF(AND(#REF!="Diferenciado",$H$4=#REF!),BDI!#REF!,IF(#REF!="ZERO",0))))),"")</f>
        <v>#REF!</v>
      </c>
      <c r="H620" s="139" t="str">
        <f t="shared" si="28"/>
        <v/>
      </c>
      <c r="I620" s="137" t="str">
        <f t="shared" si="29"/>
        <v/>
      </c>
    </row>
    <row r="621" spans="1:9" hidden="1" x14ac:dyDescent="0.25">
      <c r="A621" s="114" t="s">
        <v>2421</v>
      </c>
      <c r="B621" s="115" t="s">
        <v>2422</v>
      </c>
      <c r="C621" s="116" t="s">
        <v>20</v>
      </c>
      <c r="D621" s="116">
        <v>0</v>
      </c>
      <c r="E621" s="136" t="s">
        <v>572</v>
      </c>
      <c r="F621" s="137" t="str">
        <f t="shared" si="27"/>
        <v/>
      </c>
      <c r="G621" s="138" t="e">
        <f>IF(A621&lt;&gt;"",IF(AND(#REF!="Padrão",$H$4=#REF!),BDI!$B$17,IF(AND(#REF!="Padrão",$H$4=#REF!),BDI!#REF!,IF(AND(#REF!="Diferenciado",$H$4=#REF!),BDI!$E$17,IF(AND(#REF!="Diferenciado",$H$4=#REF!),BDI!#REF!,IF(#REF!="ZERO",0))))),"")</f>
        <v>#REF!</v>
      </c>
      <c r="H621" s="139" t="str">
        <f t="shared" si="28"/>
        <v/>
      </c>
      <c r="I621" s="137" t="str">
        <f t="shared" si="29"/>
        <v/>
      </c>
    </row>
    <row r="622" spans="1:9" hidden="1" x14ac:dyDescent="0.25">
      <c r="A622" s="114" t="s">
        <v>2423</v>
      </c>
      <c r="B622" s="115" t="s">
        <v>2424</v>
      </c>
      <c r="C622" s="116" t="s">
        <v>20</v>
      </c>
      <c r="D622" s="116">
        <v>0</v>
      </c>
      <c r="E622" s="136" t="s">
        <v>572</v>
      </c>
      <c r="F622" s="137" t="str">
        <f t="shared" si="27"/>
        <v/>
      </c>
      <c r="G622" s="138" t="e">
        <f>IF(A622&lt;&gt;"",IF(AND(#REF!="Padrão",$H$4=#REF!),BDI!$B$17,IF(AND(#REF!="Padrão",$H$4=#REF!),BDI!#REF!,IF(AND(#REF!="Diferenciado",$H$4=#REF!),BDI!$E$17,IF(AND(#REF!="Diferenciado",$H$4=#REF!),BDI!#REF!,IF(#REF!="ZERO",0))))),"")</f>
        <v>#REF!</v>
      </c>
      <c r="H622" s="139" t="str">
        <f t="shared" si="28"/>
        <v/>
      </c>
      <c r="I622" s="137" t="str">
        <f t="shared" si="29"/>
        <v/>
      </c>
    </row>
    <row r="623" spans="1:9" hidden="1" x14ac:dyDescent="0.25">
      <c r="A623" s="114" t="s">
        <v>2425</v>
      </c>
      <c r="B623" s="115" t="s">
        <v>2426</v>
      </c>
      <c r="C623" s="116" t="s">
        <v>20</v>
      </c>
      <c r="D623" s="116">
        <v>0</v>
      </c>
      <c r="E623" s="136" t="s">
        <v>572</v>
      </c>
      <c r="F623" s="137" t="str">
        <f t="shared" si="27"/>
        <v/>
      </c>
      <c r="G623" s="138" t="e">
        <f>IF(A623&lt;&gt;"",IF(AND(#REF!="Padrão",$H$4=#REF!),BDI!$B$17,IF(AND(#REF!="Padrão",$H$4=#REF!),BDI!#REF!,IF(AND(#REF!="Diferenciado",$H$4=#REF!),BDI!$E$17,IF(AND(#REF!="Diferenciado",$H$4=#REF!),BDI!#REF!,IF(#REF!="ZERO",0))))),"")</f>
        <v>#REF!</v>
      </c>
      <c r="H623" s="139" t="str">
        <f t="shared" si="28"/>
        <v/>
      </c>
      <c r="I623" s="137" t="str">
        <f t="shared" si="29"/>
        <v/>
      </c>
    </row>
    <row r="624" spans="1:9" hidden="1" x14ac:dyDescent="0.25">
      <c r="A624" s="114" t="s">
        <v>2427</v>
      </c>
      <c r="B624" s="115" t="s">
        <v>2428</v>
      </c>
      <c r="C624" s="116" t="s">
        <v>20</v>
      </c>
      <c r="D624" s="116">
        <v>0</v>
      </c>
      <c r="E624" s="136" t="s">
        <v>572</v>
      </c>
      <c r="F624" s="137" t="str">
        <f t="shared" si="27"/>
        <v/>
      </c>
      <c r="G624" s="138" t="e">
        <f>IF(A624&lt;&gt;"",IF(AND(#REF!="Padrão",$H$4=#REF!),BDI!$B$17,IF(AND(#REF!="Padrão",$H$4=#REF!),BDI!#REF!,IF(AND(#REF!="Diferenciado",$H$4=#REF!),BDI!$E$17,IF(AND(#REF!="Diferenciado",$H$4=#REF!),BDI!#REF!,IF(#REF!="ZERO",0))))),"")</f>
        <v>#REF!</v>
      </c>
      <c r="H624" s="139" t="str">
        <f t="shared" si="28"/>
        <v/>
      </c>
      <c r="I624" s="137" t="str">
        <f t="shared" si="29"/>
        <v/>
      </c>
    </row>
    <row r="625" spans="1:9" hidden="1" x14ac:dyDescent="0.25">
      <c r="A625" s="114" t="s">
        <v>2429</v>
      </c>
      <c r="B625" s="115" t="s">
        <v>2430</v>
      </c>
      <c r="C625" s="116" t="s">
        <v>20</v>
      </c>
      <c r="D625" s="116">
        <v>0</v>
      </c>
      <c r="E625" s="136" t="s">
        <v>572</v>
      </c>
      <c r="F625" s="137" t="str">
        <f t="shared" si="27"/>
        <v/>
      </c>
      <c r="G625" s="138" t="e">
        <f>IF(A625&lt;&gt;"",IF(AND(#REF!="Padrão",$H$4=#REF!),BDI!$B$17,IF(AND(#REF!="Padrão",$H$4=#REF!),BDI!#REF!,IF(AND(#REF!="Diferenciado",$H$4=#REF!),BDI!$E$17,IF(AND(#REF!="Diferenciado",$H$4=#REF!),BDI!#REF!,IF(#REF!="ZERO",0))))),"")</f>
        <v>#REF!</v>
      </c>
      <c r="H625" s="139" t="str">
        <f t="shared" si="28"/>
        <v/>
      </c>
      <c r="I625" s="137" t="str">
        <f t="shared" si="29"/>
        <v/>
      </c>
    </row>
    <row r="626" spans="1:9" hidden="1" x14ac:dyDescent="0.25">
      <c r="A626" s="114" t="s">
        <v>2431</v>
      </c>
      <c r="B626" s="115" t="s">
        <v>2432</v>
      </c>
      <c r="C626" s="116" t="s">
        <v>20</v>
      </c>
      <c r="D626" s="116">
        <v>0</v>
      </c>
      <c r="E626" s="136" t="s">
        <v>572</v>
      </c>
      <c r="F626" s="137" t="str">
        <f t="shared" si="27"/>
        <v/>
      </c>
      <c r="G626" s="138" t="e">
        <f>IF(A626&lt;&gt;"",IF(AND(#REF!="Padrão",$H$4=#REF!),BDI!$B$17,IF(AND(#REF!="Padrão",$H$4=#REF!),BDI!#REF!,IF(AND(#REF!="Diferenciado",$H$4=#REF!),BDI!$E$17,IF(AND(#REF!="Diferenciado",$H$4=#REF!),BDI!#REF!,IF(#REF!="ZERO",0))))),"")</f>
        <v>#REF!</v>
      </c>
      <c r="H626" s="139" t="str">
        <f t="shared" si="28"/>
        <v/>
      </c>
      <c r="I626" s="137" t="str">
        <f t="shared" si="29"/>
        <v/>
      </c>
    </row>
    <row r="627" spans="1:9" hidden="1" x14ac:dyDescent="0.25">
      <c r="A627" s="114" t="s">
        <v>2433</v>
      </c>
      <c r="B627" s="115" t="s">
        <v>2434</v>
      </c>
      <c r="C627" s="116" t="s">
        <v>20</v>
      </c>
      <c r="D627" s="116">
        <v>0</v>
      </c>
      <c r="E627" s="136" t="s">
        <v>572</v>
      </c>
      <c r="F627" s="137" t="str">
        <f t="shared" si="27"/>
        <v/>
      </c>
      <c r="G627" s="138" t="e">
        <f>IF(A627&lt;&gt;"",IF(AND(#REF!="Padrão",$H$4=#REF!),BDI!$B$17,IF(AND(#REF!="Padrão",$H$4=#REF!),BDI!#REF!,IF(AND(#REF!="Diferenciado",$H$4=#REF!),BDI!$E$17,IF(AND(#REF!="Diferenciado",$H$4=#REF!),BDI!#REF!,IF(#REF!="ZERO",0))))),"")</f>
        <v>#REF!</v>
      </c>
      <c r="H627" s="139" t="str">
        <f t="shared" si="28"/>
        <v/>
      </c>
      <c r="I627" s="137" t="str">
        <f t="shared" si="29"/>
        <v/>
      </c>
    </row>
    <row r="628" spans="1:9" hidden="1" x14ac:dyDescent="0.25">
      <c r="A628" s="114" t="s">
        <v>2435</v>
      </c>
      <c r="B628" s="115" t="s">
        <v>2436</v>
      </c>
      <c r="C628" s="116" t="s">
        <v>20</v>
      </c>
      <c r="D628" s="116">
        <v>0</v>
      </c>
      <c r="E628" s="136" t="s">
        <v>572</v>
      </c>
      <c r="F628" s="137" t="str">
        <f t="shared" si="27"/>
        <v/>
      </c>
      <c r="G628" s="138" t="e">
        <f>IF(A628&lt;&gt;"",IF(AND(#REF!="Padrão",$H$4=#REF!),BDI!$B$17,IF(AND(#REF!="Padrão",$H$4=#REF!),BDI!#REF!,IF(AND(#REF!="Diferenciado",$H$4=#REF!),BDI!$E$17,IF(AND(#REF!="Diferenciado",$H$4=#REF!),BDI!#REF!,IF(#REF!="ZERO",0))))),"")</f>
        <v>#REF!</v>
      </c>
      <c r="H628" s="139" t="str">
        <f t="shared" si="28"/>
        <v/>
      </c>
      <c r="I628" s="137" t="str">
        <f t="shared" si="29"/>
        <v/>
      </c>
    </row>
    <row r="629" spans="1:9" hidden="1" x14ac:dyDescent="0.25">
      <c r="A629" s="114" t="s">
        <v>2437</v>
      </c>
      <c r="B629" s="115" t="s">
        <v>2438</v>
      </c>
      <c r="C629" s="116" t="s">
        <v>20</v>
      </c>
      <c r="D629" s="116">
        <v>0</v>
      </c>
      <c r="E629" s="136" t="s">
        <v>572</v>
      </c>
      <c r="F629" s="137" t="str">
        <f t="shared" si="27"/>
        <v/>
      </c>
      <c r="G629" s="138" t="e">
        <f>IF(A629&lt;&gt;"",IF(AND(#REF!="Padrão",$H$4=#REF!),BDI!$B$17,IF(AND(#REF!="Padrão",$H$4=#REF!),BDI!#REF!,IF(AND(#REF!="Diferenciado",$H$4=#REF!),BDI!$E$17,IF(AND(#REF!="Diferenciado",$H$4=#REF!),BDI!#REF!,IF(#REF!="ZERO",0))))),"")</f>
        <v>#REF!</v>
      </c>
      <c r="H629" s="139" t="str">
        <f t="shared" si="28"/>
        <v/>
      </c>
      <c r="I629" s="137" t="str">
        <f t="shared" si="29"/>
        <v/>
      </c>
    </row>
    <row r="630" spans="1:9" hidden="1" x14ac:dyDescent="0.25">
      <c r="A630" s="114" t="s">
        <v>2439</v>
      </c>
      <c r="B630" s="115" t="s">
        <v>2440</v>
      </c>
      <c r="C630" s="116" t="s">
        <v>20</v>
      </c>
      <c r="D630" s="116">
        <v>0</v>
      </c>
      <c r="E630" s="136" t="s">
        <v>572</v>
      </c>
      <c r="F630" s="137" t="str">
        <f t="shared" si="27"/>
        <v/>
      </c>
      <c r="G630" s="138" t="e">
        <f>IF(A630&lt;&gt;"",IF(AND(#REF!="Padrão",$H$4=#REF!),BDI!$B$17,IF(AND(#REF!="Padrão",$H$4=#REF!),BDI!#REF!,IF(AND(#REF!="Diferenciado",$H$4=#REF!),BDI!$E$17,IF(AND(#REF!="Diferenciado",$H$4=#REF!),BDI!#REF!,IF(#REF!="ZERO",0))))),"")</f>
        <v>#REF!</v>
      </c>
      <c r="H630" s="139" t="str">
        <f t="shared" si="28"/>
        <v/>
      </c>
      <c r="I630" s="137" t="str">
        <f t="shared" si="29"/>
        <v/>
      </c>
    </row>
    <row r="631" spans="1:9" hidden="1" x14ac:dyDescent="0.25">
      <c r="A631" s="114" t="s">
        <v>2441</v>
      </c>
      <c r="B631" s="115" t="s">
        <v>2442</v>
      </c>
      <c r="C631" s="116" t="s">
        <v>20</v>
      </c>
      <c r="D631" s="116">
        <v>0</v>
      </c>
      <c r="E631" s="136" t="s">
        <v>572</v>
      </c>
      <c r="F631" s="137" t="str">
        <f t="shared" si="27"/>
        <v/>
      </c>
      <c r="G631" s="138" t="e">
        <f>IF(A631&lt;&gt;"",IF(AND(#REF!="Padrão",$H$4=#REF!),BDI!$B$17,IF(AND(#REF!="Padrão",$H$4=#REF!),BDI!#REF!,IF(AND(#REF!="Diferenciado",$H$4=#REF!),BDI!$E$17,IF(AND(#REF!="Diferenciado",$H$4=#REF!),BDI!#REF!,IF(#REF!="ZERO",0))))),"")</f>
        <v>#REF!</v>
      </c>
      <c r="H631" s="139" t="str">
        <f t="shared" si="28"/>
        <v/>
      </c>
      <c r="I631" s="137" t="str">
        <f t="shared" si="29"/>
        <v/>
      </c>
    </row>
    <row r="632" spans="1:9" hidden="1" x14ac:dyDescent="0.25">
      <c r="A632" s="114" t="s">
        <v>2443</v>
      </c>
      <c r="B632" s="115" t="s">
        <v>2444</v>
      </c>
      <c r="C632" s="116" t="s">
        <v>20</v>
      </c>
      <c r="D632" s="116">
        <v>0</v>
      </c>
      <c r="E632" s="136" t="s">
        <v>572</v>
      </c>
      <c r="F632" s="137" t="str">
        <f t="shared" si="27"/>
        <v/>
      </c>
      <c r="G632" s="138" t="e">
        <f>IF(A632&lt;&gt;"",IF(AND(#REF!="Padrão",$H$4=#REF!),BDI!$B$17,IF(AND(#REF!="Padrão",$H$4=#REF!),BDI!#REF!,IF(AND(#REF!="Diferenciado",$H$4=#REF!),BDI!$E$17,IF(AND(#REF!="Diferenciado",$H$4=#REF!),BDI!#REF!,IF(#REF!="ZERO",0))))),"")</f>
        <v>#REF!</v>
      </c>
      <c r="H632" s="139" t="str">
        <f t="shared" si="28"/>
        <v/>
      </c>
      <c r="I632" s="137" t="str">
        <f t="shared" si="29"/>
        <v/>
      </c>
    </row>
    <row r="633" spans="1:9" hidden="1" x14ac:dyDescent="0.25">
      <c r="A633" s="114" t="s">
        <v>2445</v>
      </c>
      <c r="B633" s="115" t="s">
        <v>2446</v>
      </c>
      <c r="C633" s="116" t="s">
        <v>20</v>
      </c>
      <c r="D633" s="116">
        <v>0</v>
      </c>
      <c r="E633" s="136" t="s">
        <v>572</v>
      </c>
      <c r="F633" s="137" t="str">
        <f t="shared" si="27"/>
        <v/>
      </c>
      <c r="G633" s="138" t="e">
        <f>IF(A633&lt;&gt;"",IF(AND(#REF!="Padrão",$H$4=#REF!),BDI!$B$17,IF(AND(#REF!="Padrão",$H$4=#REF!),BDI!#REF!,IF(AND(#REF!="Diferenciado",$H$4=#REF!),BDI!$E$17,IF(AND(#REF!="Diferenciado",$H$4=#REF!),BDI!#REF!,IF(#REF!="ZERO",0))))),"")</f>
        <v>#REF!</v>
      </c>
      <c r="H633" s="139" t="str">
        <f t="shared" si="28"/>
        <v/>
      </c>
      <c r="I633" s="137" t="str">
        <f t="shared" si="29"/>
        <v/>
      </c>
    </row>
    <row r="634" spans="1:9" hidden="1" x14ac:dyDescent="0.25">
      <c r="A634" s="114" t="s">
        <v>2447</v>
      </c>
      <c r="B634" s="115" t="s">
        <v>2448</v>
      </c>
      <c r="C634" s="116" t="s">
        <v>20</v>
      </c>
      <c r="D634" s="116">
        <v>0</v>
      </c>
      <c r="E634" s="136" t="s">
        <v>572</v>
      </c>
      <c r="F634" s="137" t="str">
        <f t="shared" si="27"/>
        <v/>
      </c>
      <c r="G634" s="138" t="e">
        <f>IF(A634&lt;&gt;"",IF(AND(#REF!="Padrão",$H$4=#REF!),BDI!$B$17,IF(AND(#REF!="Padrão",$H$4=#REF!),BDI!#REF!,IF(AND(#REF!="Diferenciado",$H$4=#REF!),BDI!$E$17,IF(AND(#REF!="Diferenciado",$H$4=#REF!),BDI!#REF!,IF(#REF!="ZERO",0))))),"")</f>
        <v>#REF!</v>
      </c>
      <c r="H634" s="139" t="str">
        <f t="shared" si="28"/>
        <v/>
      </c>
      <c r="I634" s="137" t="str">
        <f t="shared" si="29"/>
        <v/>
      </c>
    </row>
    <row r="635" spans="1:9" hidden="1" x14ac:dyDescent="0.25">
      <c r="A635" s="114" t="s">
        <v>2449</v>
      </c>
      <c r="B635" s="115" t="s">
        <v>2450</v>
      </c>
      <c r="C635" s="116" t="s">
        <v>20</v>
      </c>
      <c r="D635" s="116">
        <v>0</v>
      </c>
      <c r="E635" s="136" t="s">
        <v>572</v>
      </c>
      <c r="F635" s="137" t="str">
        <f t="shared" si="27"/>
        <v/>
      </c>
      <c r="G635" s="138" t="e">
        <f>IF(A635&lt;&gt;"",IF(AND(#REF!="Padrão",$H$4=#REF!),BDI!$B$17,IF(AND(#REF!="Padrão",$H$4=#REF!),BDI!#REF!,IF(AND(#REF!="Diferenciado",$H$4=#REF!),BDI!$E$17,IF(AND(#REF!="Diferenciado",$H$4=#REF!),BDI!#REF!,IF(#REF!="ZERO",0))))),"")</f>
        <v>#REF!</v>
      </c>
      <c r="H635" s="139" t="str">
        <f t="shared" si="28"/>
        <v/>
      </c>
      <c r="I635" s="137" t="str">
        <f t="shared" si="29"/>
        <v/>
      </c>
    </row>
    <row r="636" spans="1:9" hidden="1" x14ac:dyDescent="0.25">
      <c r="A636" s="114" t="s">
        <v>2451</v>
      </c>
      <c r="B636" s="115" t="s">
        <v>2452</v>
      </c>
      <c r="C636" s="116" t="s">
        <v>20</v>
      </c>
      <c r="D636" s="116">
        <v>0</v>
      </c>
      <c r="E636" s="136" t="s">
        <v>572</v>
      </c>
      <c r="F636" s="137" t="str">
        <f t="shared" si="27"/>
        <v/>
      </c>
      <c r="G636" s="138" t="e">
        <f>IF(A636&lt;&gt;"",IF(AND(#REF!="Padrão",$H$4=#REF!),BDI!$B$17,IF(AND(#REF!="Padrão",$H$4=#REF!),BDI!#REF!,IF(AND(#REF!="Diferenciado",$H$4=#REF!),BDI!$E$17,IF(AND(#REF!="Diferenciado",$H$4=#REF!),BDI!#REF!,IF(#REF!="ZERO",0))))),"")</f>
        <v>#REF!</v>
      </c>
      <c r="H636" s="139" t="str">
        <f t="shared" si="28"/>
        <v/>
      </c>
      <c r="I636" s="137" t="str">
        <f t="shared" si="29"/>
        <v/>
      </c>
    </row>
    <row r="637" spans="1:9" hidden="1" x14ac:dyDescent="0.25">
      <c r="A637" s="114" t="s">
        <v>2453</v>
      </c>
      <c r="B637" s="115" t="s">
        <v>2454</v>
      </c>
      <c r="C637" s="116" t="s">
        <v>20</v>
      </c>
      <c r="D637" s="116">
        <v>0</v>
      </c>
      <c r="E637" s="136" t="s">
        <v>572</v>
      </c>
      <c r="F637" s="137" t="str">
        <f t="shared" si="27"/>
        <v/>
      </c>
      <c r="G637" s="138" t="e">
        <f>IF(A637&lt;&gt;"",IF(AND(#REF!="Padrão",$H$4=#REF!),BDI!$B$17,IF(AND(#REF!="Padrão",$H$4=#REF!),BDI!#REF!,IF(AND(#REF!="Diferenciado",$H$4=#REF!),BDI!$E$17,IF(AND(#REF!="Diferenciado",$H$4=#REF!),BDI!#REF!,IF(#REF!="ZERO",0))))),"")</f>
        <v>#REF!</v>
      </c>
      <c r="H637" s="139" t="str">
        <f t="shared" si="28"/>
        <v/>
      </c>
      <c r="I637" s="137" t="str">
        <f t="shared" si="29"/>
        <v/>
      </c>
    </row>
    <row r="638" spans="1:9" hidden="1" x14ac:dyDescent="0.25">
      <c r="A638" s="114" t="s">
        <v>2455</v>
      </c>
      <c r="B638" s="115" t="s">
        <v>2456</v>
      </c>
      <c r="C638" s="116" t="s">
        <v>20</v>
      </c>
      <c r="D638" s="116">
        <v>0</v>
      </c>
      <c r="E638" s="136" t="s">
        <v>572</v>
      </c>
      <c r="F638" s="137" t="str">
        <f t="shared" si="27"/>
        <v/>
      </c>
      <c r="G638" s="138" t="e">
        <f>IF(A638&lt;&gt;"",IF(AND(#REF!="Padrão",$H$4=#REF!),BDI!$B$17,IF(AND(#REF!="Padrão",$H$4=#REF!),BDI!#REF!,IF(AND(#REF!="Diferenciado",$H$4=#REF!),BDI!$E$17,IF(AND(#REF!="Diferenciado",$H$4=#REF!),BDI!#REF!,IF(#REF!="ZERO",0))))),"")</f>
        <v>#REF!</v>
      </c>
      <c r="H638" s="139" t="str">
        <f t="shared" si="28"/>
        <v/>
      </c>
      <c r="I638" s="137" t="str">
        <f t="shared" si="29"/>
        <v/>
      </c>
    </row>
    <row r="639" spans="1:9" hidden="1" x14ac:dyDescent="0.25">
      <c r="A639" s="114" t="s">
        <v>2457</v>
      </c>
      <c r="B639" s="115" t="s">
        <v>2458</v>
      </c>
      <c r="C639" s="116" t="s">
        <v>20</v>
      </c>
      <c r="D639" s="116">
        <v>0</v>
      </c>
      <c r="E639" s="136" t="s">
        <v>572</v>
      </c>
      <c r="F639" s="137" t="str">
        <f t="shared" si="27"/>
        <v/>
      </c>
      <c r="G639" s="138" t="e">
        <f>IF(A639&lt;&gt;"",IF(AND(#REF!="Padrão",$H$4=#REF!),BDI!$B$17,IF(AND(#REF!="Padrão",$H$4=#REF!),BDI!#REF!,IF(AND(#REF!="Diferenciado",$H$4=#REF!),BDI!$E$17,IF(AND(#REF!="Diferenciado",$H$4=#REF!),BDI!#REF!,IF(#REF!="ZERO",0))))),"")</f>
        <v>#REF!</v>
      </c>
      <c r="H639" s="139" t="str">
        <f t="shared" si="28"/>
        <v/>
      </c>
      <c r="I639" s="137" t="str">
        <f t="shared" si="29"/>
        <v/>
      </c>
    </row>
    <row r="640" spans="1:9" hidden="1" x14ac:dyDescent="0.25">
      <c r="A640" s="114" t="s">
        <v>2459</v>
      </c>
      <c r="B640" s="115" t="s">
        <v>2460</v>
      </c>
      <c r="C640" s="116" t="s">
        <v>20</v>
      </c>
      <c r="D640" s="116">
        <v>0</v>
      </c>
      <c r="E640" s="136" t="s">
        <v>572</v>
      </c>
      <c r="F640" s="137" t="str">
        <f t="shared" si="27"/>
        <v/>
      </c>
      <c r="G640" s="138" t="e">
        <f>IF(A640&lt;&gt;"",IF(AND(#REF!="Padrão",$H$4=#REF!),BDI!$B$17,IF(AND(#REF!="Padrão",$H$4=#REF!),BDI!#REF!,IF(AND(#REF!="Diferenciado",$H$4=#REF!),BDI!$E$17,IF(AND(#REF!="Diferenciado",$H$4=#REF!),BDI!#REF!,IF(#REF!="ZERO",0))))),"")</f>
        <v>#REF!</v>
      </c>
      <c r="H640" s="139" t="str">
        <f t="shared" si="28"/>
        <v/>
      </c>
      <c r="I640" s="137" t="str">
        <f t="shared" si="29"/>
        <v/>
      </c>
    </row>
    <row r="641" spans="1:9" hidden="1" x14ac:dyDescent="0.25">
      <c r="A641" s="114" t="s">
        <v>2461</v>
      </c>
      <c r="B641" s="115" t="s">
        <v>2462</v>
      </c>
      <c r="C641" s="116" t="s">
        <v>20</v>
      </c>
      <c r="D641" s="116">
        <v>0</v>
      </c>
      <c r="E641" s="136" t="s">
        <v>572</v>
      </c>
      <c r="F641" s="137" t="str">
        <f t="shared" si="27"/>
        <v/>
      </c>
      <c r="G641" s="138" t="e">
        <f>IF(A641&lt;&gt;"",IF(AND(#REF!="Padrão",$H$4=#REF!),BDI!$B$17,IF(AND(#REF!="Padrão",$H$4=#REF!),BDI!#REF!,IF(AND(#REF!="Diferenciado",$H$4=#REF!),BDI!$E$17,IF(AND(#REF!="Diferenciado",$H$4=#REF!),BDI!#REF!,IF(#REF!="ZERO",0))))),"")</f>
        <v>#REF!</v>
      </c>
      <c r="H641" s="139" t="str">
        <f t="shared" si="28"/>
        <v/>
      </c>
      <c r="I641" s="137" t="str">
        <f t="shared" si="29"/>
        <v/>
      </c>
    </row>
    <row r="642" spans="1:9" hidden="1" x14ac:dyDescent="0.25">
      <c r="A642" s="114" t="s">
        <v>2463</v>
      </c>
      <c r="B642" s="115" t="s">
        <v>2464</v>
      </c>
      <c r="C642" s="116" t="s">
        <v>20</v>
      </c>
      <c r="D642" s="116">
        <v>0</v>
      </c>
      <c r="E642" s="136" t="s">
        <v>572</v>
      </c>
      <c r="F642" s="137" t="str">
        <f t="shared" si="27"/>
        <v/>
      </c>
      <c r="G642" s="138" t="e">
        <f>IF(A642&lt;&gt;"",IF(AND(#REF!="Padrão",$H$4=#REF!),BDI!$B$17,IF(AND(#REF!="Padrão",$H$4=#REF!),BDI!#REF!,IF(AND(#REF!="Diferenciado",$H$4=#REF!),BDI!$E$17,IF(AND(#REF!="Diferenciado",$H$4=#REF!),BDI!#REF!,IF(#REF!="ZERO",0))))),"")</f>
        <v>#REF!</v>
      </c>
      <c r="H642" s="139" t="str">
        <f t="shared" si="28"/>
        <v/>
      </c>
      <c r="I642" s="137" t="str">
        <f t="shared" si="29"/>
        <v/>
      </c>
    </row>
    <row r="643" spans="1:9" hidden="1" x14ac:dyDescent="0.25">
      <c r="A643" s="114" t="s">
        <v>2465</v>
      </c>
      <c r="B643" s="115" t="s">
        <v>2466</v>
      </c>
      <c r="C643" s="116" t="s">
        <v>20</v>
      </c>
      <c r="D643" s="116">
        <v>0</v>
      </c>
      <c r="E643" s="136" t="s">
        <v>572</v>
      </c>
      <c r="F643" s="137" t="str">
        <f t="shared" si="27"/>
        <v/>
      </c>
      <c r="G643" s="138" t="e">
        <f>IF(A643&lt;&gt;"",IF(AND(#REF!="Padrão",$H$4=#REF!),BDI!$B$17,IF(AND(#REF!="Padrão",$H$4=#REF!),BDI!#REF!,IF(AND(#REF!="Diferenciado",$H$4=#REF!),BDI!$E$17,IF(AND(#REF!="Diferenciado",$H$4=#REF!),BDI!#REF!,IF(#REF!="ZERO",0))))),"")</f>
        <v>#REF!</v>
      </c>
      <c r="H643" s="139" t="str">
        <f t="shared" si="28"/>
        <v/>
      </c>
      <c r="I643" s="137" t="str">
        <f t="shared" si="29"/>
        <v/>
      </c>
    </row>
    <row r="644" spans="1:9" hidden="1" x14ac:dyDescent="0.25">
      <c r="A644" s="114" t="s">
        <v>2467</v>
      </c>
      <c r="B644" s="115" t="s">
        <v>2468</v>
      </c>
      <c r="C644" s="116" t="s">
        <v>20</v>
      </c>
      <c r="D644" s="116">
        <v>0</v>
      </c>
      <c r="E644" s="136" t="s">
        <v>572</v>
      </c>
      <c r="F644" s="137" t="str">
        <f t="shared" si="27"/>
        <v/>
      </c>
      <c r="G644" s="138" t="e">
        <f>IF(A644&lt;&gt;"",IF(AND(#REF!="Padrão",$H$4=#REF!),BDI!$B$17,IF(AND(#REF!="Padrão",$H$4=#REF!),BDI!#REF!,IF(AND(#REF!="Diferenciado",$H$4=#REF!),BDI!$E$17,IF(AND(#REF!="Diferenciado",$H$4=#REF!),BDI!#REF!,IF(#REF!="ZERO",0))))),"")</f>
        <v>#REF!</v>
      </c>
      <c r="H644" s="139" t="str">
        <f t="shared" si="28"/>
        <v/>
      </c>
      <c r="I644" s="137" t="str">
        <f t="shared" si="29"/>
        <v/>
      </c>
    </row>
    <row r="645" spans="1:9" hidden="1" x14ac:dyDescent="0.25">
      <c r="A645" s="114" t="s">
        <v>2469</v>
      </c>
      <c r="B645" s="115" t="s">
        <v>2470</v>
      </c>
      <c r="C645" s="116" t="s">
        <v>20</v>
      </c>
      <c r="D645" s="116">
        <v>0</v>
      </c>
      <c r="E645" s="136" t="s">
        <v>572</v>
      </c>
      <c r="F645" s="137" t="str">
        <f t="shared" si="27"/>
        <v/>
      </c>
      <c r="G645" s="138" t="e">
        <f>IF(A645&lt;&gt;"",IF(AND(#REF!="Padrão",$H$4=#REF!),BDI!$B$17,IF(AND(#REF!="Padrão",$H$4=#REF!),BDI!#REF!,IF(AND(#REF!="Diferenciado",$H$4=#REF!),BDI!$E$17,IF(AND(#REF!="Diferenciado",$H$4=#REF!),BDI!#REF!,IF(#REF!="ZERO",0))))),"")</f>
        <v>#REF!</v>
      </c>
      <c r="H645" s="139" t="str">
        <f t="shared" si="28"/>
        <v/>
      </c>
      <c r="I645" s="137" t="str">
        <f t="shared" si="29"/>
        <v/>
      </c>
    </row>
    <row r="646" spans="1:9" hidden="1" x14ac:dyDescent="0.25">
      <c r="A646" s="114" t="s">
        <v>2471</v>
      </c>
      <c r="B646" s="115" t="s">
        <v>2472</v>
      </c>
      <c r="C646" s="116" t="s">
        <v>20</v>
      </c>
      <c r="D646" s="116">
        <v>0</v>
      </c>
      <c r="E646" s="136" t="s">
        <v>572</v>
      </c>
      <c r="F646" s="137" t="str">
        <f t="shared" si="27"/>
        <v/>
      </c>
      <c r="G646" s="138" t="e">
        <f>IF(A646&lt;&gt;"",IF(AND(#REF!="Padrão",$H$4=#REF!),BDI!$B$17,IF(AND(#REF!="Padrão",$H$4=#REF!),BDI!#REF!,IF(AND(#REF!="Diferenciado",$H$4=#REF!),BDI!$E$17,IF(AND(#REF!="Diferenciado",$H$4=#REF!),BDI!#REF!,IF(#REF!="ZERO",0))))),"")</f>
        <v>#REF!</v>
      </c>
      <c r="H646" s="139" t="str">
        <f t="shared" si="28"/>
        <v/>
      </c>
      <c r="I646" s="137" t="str">
        <f t="shared" si="29"/>
        <v/>
      </c>
    </row>
    <row r="647" spans="1:9" hidden="1" x14ac:dyDescent="0.25">
      <c r="A647" s="114" t="s">
        <v>2473</v>
      </c>
      <c r="B647" s="115" t="s">
        <v>2474</v>
      </c>
      <c r="C647" s="116" t="s">
        <v>20</v>
      </c>
      <c r="D647" s="116">
        <v>0</v>
      </c>
      <c r="E647" s="136" t="s">
        <v>572</v>
      </c>
      <c r="F647" s="137" t="str">
        <f t="shared" ref="F647:F710" si="30">IF(ISNUMBER(E647),D647*E647,"")</f>
        <v/>
      </c>
      <c r="G647" s="138" t="e">
        <f>IF(A647&lt;&gt;"",IF(AND(#REF!="Padrão",$H$4=#REF!),BDI!$B$17,IF(AND(#REF!="Padrão",$H$4=#REF!),BDI!#REF!,IF(AND(#REF!="Diferenciado",$H$4=#REF!),BDI!$E$17,IF(AND(#REF!="Diferenciado",$H$4=#REF!),BDI!#REF!,IF(#REF!="ZERO",0))))),"")</f>
        <v>#REF!</v>
      </c>
      <c r="H647" s="139" t="str">
        <f t="shared" ref="H647:H710" si="31">IF(ISNUMBER(E647),ROUND(E647*(1+G647),2),"")</f>
        <v/>
      </c>
      <c r="I647" s="137" t="str">
        <f t="shared" ref="I647:I710" si="32">IF(ISNUMBER(E647),ROUND(H647*D647,2),"")</f>
        <v/>
      </c>
    </row>
    <row r="648" spans="1:9" hidden="1" x14ac:dyDescent="0.25">
      <c r="A648" s="114" t="s">
        <v>2475</v>
      </c>
      <c r="B648" s="115" t="s">
        <v>2476</v>
      </c>
      <c r="C648" s="116" t="s">
        <v>20</v>
      </c>
      <c r="D648" s="116">
        <v>0</v>
      </c>
      <c r="E648" s="136" t="s">
        <v>572</v>
      </c>
      <c r="F648" s="137" t="str">
        <f t="shared" si="30"/>
        <v/>
      </c>
      <c r="G648" s="138" t="e">
        <f>IF(A648&lt;&gt;"",IF(AND(#REF!="Padrão",$H$4=#REF!),BDI!$B$17,IF(AND(#REF!="Padrão",$H$4=#REF!),BDI!#REF!,IF(AND(#REF!="Diferenciado",$H$4=#REF!),BDI!$E$17,IF(AND(#REF!="Diferenciado",$H$4=#REF!),BDI!#REF!,IF(#REF!="ZERO",0))))),"")</f>
        <v>#REF!</v>
      </c>
      <c r="H648" s="139" t="str">
        <f t="shared" si="31"/>
        <v/>
      </c>
      <c r="I648" s="137" t="str">
        <f t="shared" si="32"/>
        <v/>
      </c>
    </row>
    <row r="649" spans="1:9" hidden="1" x14ac:dyDescent="0.25">
      <c r="A649" s="114" t="s">
        <v>2477</v>
      </c>
      <c r="B649" s="115" t="s">
        <v>2478</v>
      </c>
      <c r="C649" s="116" t="s">
        <v>42</v>
      </c>
      <c r="D649" s="116">
        <v>0</v>
      </c>
      <c r="E649" s="136" t="s">
        <v>572</v>
      </c>
      <c r="F649" s="137" t="str">
        <f t="shared" si="30"/>
        <v/>
      </c>
      <c r="G649" s="138" t="e">
        <f>IF(A649&lt;&gt;"",IF(AND(#REF!="Padrão",$H$4=#REF!),BDI!$B$17,IF(AND(#REF!="Padrão",$H$4=#REF!),BDI!#REF!,IF(AND(#REF!="Diferenciado",$H$4=#REF!),BDI!$E$17,IF(AND(#REF!="Diferenciado",$H$4=#REF!),BDI!#REF!,IF(#REF!="ZERO",0))))),"")</f>
        <v>#REF!</v>
      </c>
      <c r="H649" s="139" t="str">
        <f t="shared" si="31"/>
        <v/>
      </c>
      <c r="I649" s="137" t="str">
        <f t="shared" si="32"/>
        <v/>
      </c>
    </row>
    <row r="650" spans="1:9" hidden="1" x14ac:dyDescent="0.25">
      <c r="A650" s="114" t="s">
        <v>2479</v>
      </c>
      <c r="B650" s="115" t="s">
        <v>2480</v>
      </c>
      <c r="C650" s="116" t="s">
        <v>1970</v>
      </c>
      <c r="D650" s="116">
        <v>0</v>
      </c>
      <c r="E650" s="136" t="s">
        <v>572</v>
      </c>
      <c r="F650" s="137" t="str">
        <f t="shared" si="30"/>
        <v/>
      </c>
      <c r="G650" s="138" t="e">
        <f>IF(A650&lt;&gt;"",IF(AND(#REF!="Padrão",$H$4=#REF!),BDI!$B$17,IF(AND(#REF!="Padrão",$H$4=#REF!),BDI!#REF!,IF(AND(#REF!="Diferenciado",$H$4=#REF!),BDI!$E$17,IF(AND(#REF!="Diferenciado",$H$4=#REF!),BDI!#REF!,IF(#REF!="ZERO",0))))),"")</f>
        <v>#REF!</v>
      </c>
      <c r="H650" s="139" t="str">
        <f t="shared" si="31"/>
        <v/>
      </c>
      <c r="I650" s="137" t="str">
        <f t="shared" si="32"/>
        <v/>
      </c>
    </row>
    <row r="651" spans="1:9" hidden="1" x14ac:dyDescent="0.25">
      <c r="A651" s="114" t="s">
        <v>2481</v>
      </c>
      <c r="B651" s="115" t="s">
        <v>2482</v>
      </c>
      <c r="C651" s="116" t="s">
        <v>1970</v>
      </c>
      <c r="D651" s="116">
        <v>0</v>
      </c>
      <c r="E651" s="136" t="s">
        <v>572</v>
      </c>
      <c r="F651" s="137" t="str">
        <f t="shared" si="30"/>
        <v/>
      </c>
      <c r="G651" s="138" t="e">
        <f>IF(A651&lt;&gt;"",IF(AND(#REF!="Padrão",$H$4=#REF!),BDI!$B$17,IF(AND(#REF!="Padrão",$H$4=#REF!),BDI!#REF!,IF(AND(#REF!="Diferenciado",$H$4=#REF!),BDI!$E$17,IF(AND(#REF!="Diferenciado",$H$4=#REF!),BDI!#REF!,IF(#REF!="ZERO",0))))),"")</f>
        <v>#REF!</v>
      </c>
      <c r="H651" s="139" t="str">
        <f t="shared" si="31"/>
        <v/>
      </c>
      <c r="I651" s="137" t="str">
        <f t="shared" si="32"/>
        <v/>
      </c>
    </row>
    <row r="652" spans="1:9" hidden="1" x14ac:dyDescent="0.25">
      <c r="A652" s="114" t="s">
        <v>2483</v>
      </c>
      <c r="B652" s="115" t="s">
        <v>2484</v>
      </c>
      <c r="C652" s="116" t="s">
        <v>1970</v>
      </c>
      <c r="D652" s="116">
        <v>0</v>
      </c>
      <c r="E652" s="136" t="s">
        <v>572</v>
      </c>
      <c r="F652" s="137" t="str">
        <f t="shared" si="30"/>
        <v/>
      </c>
      <c r="G652" s="138" t="e">
        <f>IF(A652&lt;&gt;"",IF(AND(#REF!="Padrão",$H$4=#REF!),BDI!$B$17,IF(AND(#REF!="Padrão",$H$4=#REF!),BDI!#REF!,IF(AND(#REF!="Diferenciado",$H$4=#REF!),BDI!$E$17,IF(AND(#REF!="Diferenciado",$H$4=#REF!),BDI!#REF!,IF(#REF!="ZERO",0))))),"")</f>
        <v>#REF!</v>
      </c>
      <c r="H652" s="139" t="str">
        <f t="shared" si="31"/>
        <v/>
      </c>
      <c r="I652" s="137" t="str">
        <f t="shared" si="32"/>
        <v/>
      </c>
    </row>
    <row r="653" spans="1:9" hidden="1" x14ac:dyDescent="0.25">
      <c r="A653" s="114" t="s">
        <v>2485</v>
      </c>
      <c r="B653" s="115" t="s">
        <v>2486</v>
      </c>
      <c r="C653" s="116" t="s">
        <v>1970</v>
      </c>
      <c r="D653" s="116">
        <v>0</v>
      </c>
      <c r="E653" s="136" t="s">
        <v>572</v>
      </c>
      <c r="F653" s="137" t="str">
        <f t="shared" si="30"/>
        <v/>
      </c>
      <c r="G653" s="138" t="e">
        <f>IF(A653&lt;&gt;"",IF(AND(#REF!="Padrão",$H$4=#REF!),BDI!$B$17,IF(AND(#REF!="Padrão",$H$4=#REF!),BDI!#REF!,IF(AND(#REF!="Diferenciado",$H$4=#REF!),BDI!$E$17,IF(AND(#REF!="Diferenciado",$H$4=#REF!),BDI!#REF!,IF(#REF!="ZERO",0))))),"")</f>
        <v>#REF!</v>
      </c>
      <c r="H653" s="139" t="str">
        <f t="shared" si="31"/>
        <v/>
      </c>
      <c r="I653" s="137" t="str">
        <f t="shared" si="32"/>
        <v/>
      </c>
    </row>
    <row r="654" spans="1:9" hidden="1" x14ac:dyDescent="0.25">
      <c r="A654" s="114" t="s">
        <v>2487</v>
      </c>
      <c r="B654" s="115" t="s">
        <v>2488</v>
      </c>
      <c r="C654" s="116" t="s">
        <v>1970</v>
      </c>
      <c r="D654" s="116">
        <v>0</v>
      </c>
      <c r="E654" s="136" t="s">
        <v>572</v>
      </c>
      <c r="F654" s="137" t="str">
        <f t="shared" si="30"/>
        <v/>
      </c>
      <c r="G654" s="138" t="e">
        <f>IF(A654&lt;&gt;"",IF(AND(#REF!="Padrão",$H$4=#REF!),BDI!$B$17,IF(AND(#REF!="Padrão",$H$4=#REF!),BDI!#REF!,IF(AND(#REF!="Diferenciado",$H$4=#REF!),BDI!$E$17,IF(AND(#REF!="Diferenciado",$H$4=#REF!),BDI!#REF!,IF(#REF!="ZERO",0))))),"")</f>
        <v>#REF!</v>
      </c>
      <c r="H654" s="139" t="str">
        <f t="shared" si="31"/>
        <v/>
      </c>
      <c r="I654" s="137" t="str">
        <f t="shared" si="32"/>
        <v/>
      </c>
    </row>
    <row r="655" spans="1:9" hidden="1" x14ac:dyDescent="0.25">
      <c r="A655" s="114" t="s">
        <v>2489</v>
      </c>
      <c r="B655" s="115" t="s">
        <v>2490</v>
      </c>
      <c r="C655" s="116" t="s">
        <v>20</v>
      </c>
      <c r="D655" s="116">
        <v>0</v>
      </c>
      <c r="E655" s="136" t="s">
        <v>572</v>
      </c>
      <c r="F655" s="137" t="str">
        <f t="shared" si="30"/>
        <v/>
      </c>
      <c r="G655" s="138" t="e">
        <f>IF(A655&lt;&gt;"",IF(AND(#REF!="Padrão",$H$4=#REF!),BDI!$B$17,IF(AND(#REF!="Padrão",$H$4=#REF!),BDI!#REF!,IF(AND(#REF!="Diferenciado",$H$4=#REF!),BDI!$E$17,IF(AND(#REF!="Diferenciado",$H$4=#REF!),BDI!#REF!,IF(#REF!="ZERO",0))))),"")</f>
        <v>#REF!</v>
      </c>
      <c r="H655" s="139" t="str">
        <f t="shared" si="31"/>
        <v/>
      </c>
      <c r="I655" s="137" t="str">
        <f t="shared" si="32"/>
        <v/>
      </c>
    </row>
    <row r="656" spans="1:9" hidden="1" x14ac:dyDescent="0.25">
      <c r="A656" s="114" t="s">
        <v>2491</v>
      </c>
      <c r="B656" s="115" t="s">
        <v>2492</v>
      </c>
      <c r="C656" s="116" t="s">
        <v>42</v>
      </c>
      <c r="D656" s="116">
        <v>0</v>
      </c>
      <c r="E656" s="136" t="s">
        <v>572</v>
      </c>
      <c r="F656" s="137" t="str">
        <f t="shared" si="30"/>
        <v/>
      </c>
      <c r="G656" s="138" t="e">
        <f>IF(A656&lt;&gt;"",IF(AND(#REF!="Padrão",$H$4=#REF!),BDI!$B$17,IF(AND(#REF!="Padrão",$H$4=#REF!),BDI!#REF!,IF(AND(#REF!="Diferenciado",$H$4=#REF!),BDI!$E$17,IF(AND(#REF!="Diferenciado",$H$4=#REF!),BDI!#REF!,IF(#REF!="ZERO",0))))),"")</f>
        <v>#REF!</v>
      </c>
      <c r="H656" s="139" t="str">
        <f t="shared" si="31"/>
        <v/>
      </c>
      <c r="I656" s="137" t="str">
        <f t="shared" si="32"/>
        <v/>
      </c>
    </row>
    <row r="657" spans="1:9" hidden="1" x14ac:dyDescent="0.25">
      <c r="A657" s="114" t="s">
        <v>2493</v>
      </c>
      <c r="B657" s="115" t="s">
        <v>2494</v>
      </c>
      <c r="C657" s="116" t="s">
        <v>20</v>
      </c>
      <c r="D657" s="116">
        <v>0</v>
      </c>
      <c r="E657" s="136" t="s">
        <v>572</v>
      </c>
      <c r="F657" s="137" t="str">
        <f t="shared" si="30"/>
        <v/>
      </c>
      <c r="G657" s="138" t="e">
        <f>IF(A657&lt;&gt;"",IF(AND(#REF!="Padrão",$H$4=#REF!),BDI!$B$17,IF(AND(#REF!="Padrão",$H$4=#REF!),BDI!#REF!,IF(AND(#REF!="Diferenciado",$H$4=#REF!),BDI!$E$17,IF(AND(#REF!="Diferenciado",$H$4=#REF!),BDI!#REF!,IF(#REF!="ZERO",0))))),"")</f>
        <v>#REF!</v>
      </c>
      <c r="H657" s="139" t="str">
        <f t="shared" si="31"/>
        <v/>
      </c>
      <c r="I657" s="137" t="str">
        <f t="shared" si="32"/>
        <v/>
      </c>
    </row>
    <row r="658" spans="1:9" hidden="1" x14ac:dyDescent="0.25">
      <c r="A658" s="114" t="s">
        <v>2495</v>
      </c>
      <c r="B658" s="115" t="s">
        <v>2496</v>
      </c>
      <c r="C658" s="116" t="s">
        <v>20</v>
      </c>
      <c r="D658" s="116">
        <v>0</v>
      </c>
      <c r="E658" s="136" t="s">
        <v>572</v>
      </c>
      <c r="F658" s="137" t="str">
        <f t="shared" si="30"/>
        <v/>
      </c>
      <c r="G658" s="138" t="e">
        <f>IF(A658&lt;&gt;"",IF(AND(#REF!="Padrão",$H$4=#REF!),BDI!$B$17,IF(AND(#REF!="Padrão",$H$4=#REF!),BDI!#REF!,IF(AND(#REF!="Diferenciado",$H$4=#REF!),BDI!$E$17,IF(AND(#REF!="Diferenciado",$H$4=#REF!),BDI!#REF!,IF(#REF!="ZERO",0))))),"")</f>
        <v>#REF!</v>
      </c>
      <c r="H658" s="139" t="str">
        <f t="shared" si="31"/>
        <v/>
      </c>
      <c r="I658" s="137" t="str">
        <f t="shared" si="32"/>
        <v/>
      </c>
    </row>
    <row r="659" spans="1:9" hidden="1" x14ac:dyDescent="0.25">
      <c r="A659" s="114" t="s">
        <v>2497</v>
      </c>
      <c r="B659" s="115" t="s">
        <v>2498</v>
      </c>
      <c r="C659" s="116" t="s">
        <v>20</v>
      </c>
      <c r="D659" s="116">
        <v>0</v>
      </c>
      <c r="E659" s="136" t="s">
        <v>572</v>
      </c>
      <c r="F659" s="137" t="str">
        <f t="shared" si="30"/>
        <v/>
      </c>
      <c r="G659" s="138" t="e">
        <f>IF(A659&lt;&gt;"",IF(AND(#REF!="Padrão",$H$4=#REF!),BDI!$B$17,IF(AND(#REF!="Padrão",$H$4=#REF!),BDI!#REF!,IF(AND(#REF!="Diferenciado",$H$4=#REF!),BDI!$E$17,IF(AND(#REF!="Diferenciado",$H$4=#REF!),BDI!#REF!,IF(#REF!="ZERO",0))))),"")</f>
        <v>#REF!</v>
      </c>
      <c r="H659" s="139" t="str">
        <f t="shared" si="31"/>
        <v/>
      </c>
      <c r="I659" s="137" t="str">
        <f t="shared" si="32"/>
        <v/>
      </c>
    </row>
    <row r="660" spans="1:9" hidden="1" x14ac:dyDescent="0.25">
      <c r="A660" s="114" t="s">
        <v>2499</v>
      </c>
      <c r="B660" s="115" t="s">
        <v>2500</v>
      </c>
      <c r="C660" s="116" t="s">
        <v>20</v>
      </c>
      <c r="D660" s="116">
        <v>0</v>
      </c>
      <c r="E660" s="136" t="s">
        <v>572</v>
      </c>
      <c r="F660" s="137" t="str">
        <f t="shared" si="30"/>
        <v/>
      </c>
      <c r="G660" s="138" t="e">
        <f>IF(A660&lt;&gt;"",IF(AND(#REF!="Padrão",$H$4=#REF!),BDI!$B$17,IF(AND(#REF!="Padrão",$H$4=#REF!),BDI!#REF!,IF(AND(#REF!="Diferenciado",$H$4=#REF!),BDI!$E$17,IF(AND(#REF!="Diferenciado",$H$4=#REF!),BDI!#REF!,IF(#REF!="ZERO",0))))),"")</f>
        <v>#REF!</v>
      </c>
      <c r="H660" s="139" t="str">
        <f t="shared" si="31"/>
        <v/>
      </c>
      <c r="I660" s="137" t="str">
        <f t="shared" si="32"/>
        <v/>
      </c>
    </row>
    <row r="661" spans="1:9" hidden="1" x14ac:dyDescent="0.25">
      <c r="A661" s="114" t="s">
        <v>2501</v>
      </c>
      <c r="B661" s="115" t="s">
        <v>2502</v>
      </c>
      <c r="C661" s="116" t="s">
        <v>20</v>
      </c>
      <c r="D661" s="116">
        <v>0</v>
      </c>
      <c r="E661" s="136" t="s">
        <v>572</v>
      </c>
      <c r="F661" s="137" t="str">
        <f t="shared" si="30"/>
        <v/>
      </c>
      <c r="G661" s="138" t="e">
        <f>IF(A661&lt;&gt;"",IF(AND(#REF!="Padrão",$H$4=#REF!),BDI!$B$17,IF(AND(#REF!="Padrão",$H$4=#REF!),BDI!#REF!,IF(AND(#REF!="Diferenciado",$H$4=#REF!),BDI!$E$17,IF(AND(#REF!="Diferenciado",$H$4=#REF!),BDI!#REF!,IF(#REF!="ZERO",0))))),"")</f>
        <v>#REF!</v>
      </c>
      <c r="H661" s="139" t="str">
        <f t="shared" si="31"/>
        <v/>
      </c>
      <c r="I661" s="137" t="str">
        <f t="shared" si="32"/>
        <v/>
      </c>
    </row>
    <row r="662" spans="1:9" hidden="1" x14ac:dyDescent="0.25">
      <c r="A662" s="114" t="s">
        <v>2503</v>
      </c>
      <c r="B662" s="115" t="s">
        <v>2504</v>
      </c>
      <c r="C662" s="116" t="s">
        <v>20</v>
      </c>
      <c r="D662" s="116">
        <v>0</v>
      </c>
      <c r="E662" s="136" t="s">
        <v>572</v>
      </c>
      <c r="F662" s="137" t="str">
        <f t="shared" si="30"/>
        <v/>
      </c>
      <c r="G662" s="138" t="e">
        <f>IF(A662&lt;&gt;"",IF(AND(#REF!="Padrão",$H$4=#REF!),BDI!$B$17,IF(AND(#REF!="Padrão",$H$4=#REF!),BDI!#REF!,IF(AND(#REF!="Diferenciado",$H$4=#REF!),BDI!$E$17,IF(AND(#REF!="Diferenciado",$H$4=#REF!),BDI!#REF!,IF(#REF!="ZERO",0))))),"")</f>
        <v>#REF!</v>
      </c>
      <c r="H662" s="139" t="str">
        <f t="shared" si="31"/>
        <v/>
      </c>
      <c r="I662" s="137" t="str">
        <f t="shared" si="32"/>
        <v/>
      </c>
    </row>
    <row r="663" spans="1:9" hidden="1" x14ac:dyDescent="0.25">
      <c r="A663" s="114" t="s">
        <v>2505</v>
      </c>
      <c r="B663" s="115" t="s">
        <v>2506</v>
      </c>
      <c r="C663" s="116" t="s">
        <v>20</v>
      </c>
      <c r="D663" s="116">
        <v>0</v>
      </c>
      <c r="E663" s="136" t="s">
        <v>572</v>
      </c>
      <c r="F663" s="137" t="str">
        <f t="shared" si="30"/>
        <v/>
      </c>
      <c r="G663" s="138" t="e">
        <f>IF(A663&lt;&gt;"",IF(AND(#REF!="Padrão",$H$4=#REF!),BDI!$B$17,IF(AND(#REF!="Padrão",$H$4=#REF!),BDI!#REF!,IF(AND(#REF!="Diferenciado",$H$4=#REF!),BDI!$E$17,IF(AND(#REF!="Diferenciado",$H$4=#REF!),BDI!#REF!,IF(#REF!="ZERO",0))))),"")</f>
        <v>#REF!</v>
      </c>
      <c r="H663" s="139" t="str">
        <f t="shared" si="31"/>
        <v/>
      </c>
      <c r="I663" s="137" t="str">
        <f t="shared" si="32"/>
        <v/>
      </c>
    </row>
    <row r="664" spans="1:9" hidden="1" x14ac:dyDescent="0.25">
      <c r="A664" s="114" t="s">
        <v>2507</v>
      </c>
      <c r="B664" s="115" t="s">
        <v>2508</v>
      </c>
      <c r="C664" s="116" t="s">
        <v>20</v>
      </c>
      <c r="D664" s="116">
        <v>0</v>
      </c>
      <c r="E664" s="136" t="s">
        <v>572</v>
      </c>
      <c r="F664" s="137" t="str">
        <f t="shared" si="30"/>
        <v/>
      </c>
      <c r="G664" s="138" t="e">
        <f>IF(A664&lt;&gt;"",IF(AND(#REF!="Padrão",$H$4=#REF!),BDI!$B$17,IF(AND(#REF!="Padrão",$H$4=#REF!),BDI!#REF!,IF(AND(#REF!="Diferenciado",$H$4=#REF!),BDI!$E$17,IF(AND(#REF!="Diferenciado",$H$4=#REF!),BDI!#REF!,IF(#REF!="ZERO",0))))),"")</f>
        <v>#REF!</v>
      </c>
      <c r="H664" s="139" t="str">
        <f t="shared" si="31"/>
        <v/>
      </c>
      <c r="I664" s="137" t="str">
        <f t="shared" si="32"/>
        <v/>
      </c>
    </row>
    <row r="665" spans="1:9" hidden="1" x14ac:dyDescent="0.25">
      <c r="A665" s="114" t="s">
        <v>2509</v>
      </c>
      <c r="B665" s="115" t="s">
        <v>2510</v>
      </c>
      <c r="C665" s="116" t="s">
        <v>20</v>
      </c>
      <c r="D665" s="116">
        <v>0</v>
      </c>
      <c r="E665" s="136" t="s">
        <v>572</v>
      </c>
      <c r="F665" s="137" t="str">
        <f t="shared" si="30"/>
        <v/>
      </c>
      <c r="G665" s="138" t="e">
        <f>IF(A665&lt;&gt;"",IF(AND(#REF!="Padrão",$H$4=#REF!),BDI!$B$17,IF(AND(#REF!="Padrão",$H$4=#REF!),BDI!#REF!,IF(AND(#REF!="Diferenciado",$H$4=#REF!),BDI!$E$17,IF(AND(#REF!="Diferenciado",$H$4=#REF!),BDI!#REF!,IF(#REF!="ZERO",0))))),"")</f>
        <v>#REF!</v>
      </c>
      <c r="H665" s="139" t="str">
        <f t="shared" si="31"/>
        <v/>
      </c>
      <c r="I665" s="137" t="str">
        <f t="shared" si="32"/>
        <v/>
      </c>
    </row>
    <row r="666" spans="1:9" hidden="1" x14ac:dyDescent="0.25">
      <c r="A666" s="114" t="s">
        <v>2511</v>
      </c>
      <c r="B666" s="115" t="s">
        <v>2512</v>
      </c>
      <c r="C666" s="116" t="s">
        <v>20</v>
      </c>
      <c r="D666" s="116">
        <v>0</v>
      </c>
      <c r="E666" s="136" t="s">
        <v>572</v>
      </c>
      <c r="F666" s="137" t="str">
        <f t="shared" si="30"/>
        <v/>
      </c>
      <c r="G666" s="138" t="e">
        <f>IF(A666&lt;&gt;"",IF(AND(#REF!="Padrão",$H$4=#REF!),BDI!$B$17,IF(AND(#REF!="Padrão",$H$4=#REF!),BDI!#REF!,IF(AND(#REF!="Diferenciado",$H$4=#REF!),BDI!$E$17,IF(AND(#REF!="Diferenciado",$H$4=#REF!),BDI!#REF!,IF(#REF!="ZERO",0))))),"")</f>
        <v>#REF!</v>
      </c>
      <c r="H666" s="139" t="str">
        <f t="shared" si="31"/>
        <v/>
      </c>
      <c r="I666" s="137" t="str">
        <f t="shared" si="32"/>
        <v/>
      </c>
    </row>
    <row r="667" spans="1:9" hidden="1" x14ac:dyDescent="0.25">
      <c r="A667" s="114" t="s">
        <v>2513</v>
      </c>
      <c r="B667" s="115" t="s">
        <v>2514</v>
      </c>
      <c r="C667" s="116" t="s">
        <v>20</v>
      </c>
      <c r="D667" s="116">
        <v>0</v>
      </c>
      <c r="E667" s="136" t="s">
        <v>572</v>
      </c>
      <c r="F667" s="137" t="str">
        <f t="shared" si="30"/>
        <v/>
      </c>
      <c r="G667" s="138" t="e">
        <f>IF(A667&lt;&gt;"",IF(AND(#REF!="Padrão",$H$4=#REF!),BDI!$B$17,IF(AND(#REF!="Padrão",$H$4=#REF!),BDI!#REF!,IF(AND(#REF!="Diferenciado",$H$4=#REF!),BDI!$E$17,IF(AND(#REF!="Diferenciado",$H$4=#REF!),BDI!#REF!,IF(#REF!="ZERO",0))))),"")</f>
        <v>#REF!</v>
      </c>
      <c r="H667" s="139" t="str">
        <f t="shared" si="31"/>
        <v/>
      </c>
      <c r="I667" s="137" t="str">
        <f t="shared" si="32"/>
        <v/>
      </c>
    </row>
    <row r="668" spans="1:9" hidden="1" x14ac:dyDescent="0.25">
      <c r="A668" s="114" t="s">
        <v>2515</v>
      </c>
      <c r="B668" s="115" t="s">
        <v>2516</v>
      </c>
      <c r="C668" s="116" t="s">
        <v>20</v>
      </c>
      <c r="D668" s="116">
        <v>0</v>
      </c>
      <c r="E668" s="136" t="s">
        <v>572</v>
      </c>
      <c r="F668" s="137" t="str">
        <f t="shared" si="30"/>
        <v/>
      </c>
      <c r="G668" s="138" t="e">
        <f>IF(A668&lt;&gt;"",IF(AND(#REF!="Padrão",$H$4=#REF!),BDI!$B$17,IF(AND(#REF!="Padrão",$H$4=#REF!),BDI!#REF!,IF(AND(#REF!="Diferenciado",$H$4=#REF!),BDI!$E$17,IF(AND(#REF!="Diferenciado",$H$4=#REF!),BDI!#REF!,IF(#REF!="ZERO",0))))),"")</f>
        <v>#REF!</v>
      </c>
      <c r="H668" s="139" t="str">
        <f t="shared" si="31"/>
        <v/>
      </c>
      <c r="I668" s="137" t="str">
        <f t="shared" si="32"/>
        <v/>
      </c>
    </row>
    <row r="669" spans="1:9" hidden="1" x14ac:dyDescent="0.25">
      <c r="A669" s="114" t="s">
        <v>2517</v>
      </c>
      <c r="B669" s="115" t="s">
        <v>2518</v>
      </c>
      <c r="C669" s="116" t="s">
        <v>20</v>
      </c>
      <c r="D669" s="116">
        <v>0</v>
      </c>
      <c r="E669" s="136" t="s">
        <v>572</v>
      </c>
      <c r="F669" s="137" t="str">
        <f t="shared" si="30"/>
        <v/>
      </c>
      <c r="G669" s="138" t="e">
        <f>IF(A669&lt;&gt;"",IF(AND(#REF!="Padrão",$H$4=#REF!),BDI!$B$17,IF(AND(#REF!="Padrão",$H$4=#REF!),BDI!#REF!,IF(AND(#REF!="Diferenciado",$H$4=#REF!),BDI!$E$17,IF(AND(#REF!="Diferenciado",$H$4=#REF!),BDI!#REF!,IF(#REF!="ZERO",0))))),"")</f>
        <v>#REF!</v>
      </c>
      <c r="H669" s="139" t="str">
        <f t="shared" si="31"/>
        <v/>
      </c>
      <c r="I669" s="137" t="str">
        <f t="shared" si="32"/>
        <v/>
      </c>
    </row>
    <row r="670" spans="1:9" hidden="1" x14ac:dyDescent="0.25">
      <c r="A670" s="114" t="s">
        <v>2519</v>
      </c>
      <c r="B670" s="115" t="s">
        <v>2520</v>
      </c>
      <c r="C670" s="116" t="s">
        <v>20</v>
      </c>
      <c r="D670" s="116">
        <v>0</v>
      </c>
      <c r="E670" s="136" t="s">
        <v>572</v>
      </c>
      <c r="F670" s="137" t="str">
        <f t="shared" si="30"/>
        <v/>
      </c>
      <c r="G670" s="138" t="e">
        <f>IF(A670&lt;&gt;"",IF(AND(#REF!="Padrão",$H$4=#REF!),BDI!$B$17,IF(AND(#REF!="Padrão",$H$4=#REF!),BDI!#REF!,IF(AND(#REF!="Diferenciado",$H$4=#REF!),BDI!$E$17,IF(AND(#REF!="Diferenciado",$H$4=#REF!),BDI!#REF!,IF(#REF!="ZERO",0))))),"")</f>
        <v>#REF!</v>
      </c>
      <c r="H670" s="139" t="str">
        <f t="shared" si="31"/>
        <v/>
      </c>
      <c r="I670" s="137" t="str">
        <f t="shared" si="32"/>
        <v/>
      </c>
    </row>
    <row r="671" spans="1:9" hidden="1" x14ac:dyDescent="0.25">
      <c r="A671" s="114" t="s">
        <v>2521</v>
      </c>
      <c r="B671" s="115" t="s">
        <v>2522</v>
      </c>
      <c r="C671" s="116" t="s">
        <v>1970</v>
      </c>
      <c r="D671" s="116">
        <v>0</v>
      </c>
      <c r="E671" s="136" t="s">
        <v>572</v>
      </c>
      <c r="F671" s="137" t="str">
        <f t="shared" si="30"/>
        <v/>
      </c>
      <c r="G671" s="138" t="e">
        <f>IF(A671&lt;&gt;"",IF(AND(#REF!="Padrão",$H$4=#REF!),BDI!$B$17,IF(AND(#REF!="Padrão",$H$4=#REF!),BDI!#REF!,IF(AND(#REF!="Diferenciado",$H$4=#REF!),BDI!$E$17,IF(AND(#REF!="Diferenciado",$H$4=#REF!),BDI!#REF!,IF(#REF!="ZERO",0))))),"")</f>
        <v>#REF!</v>
      </c>
      <c r="H671" s="139" t="str">
        <f t="shared" si="31"/>
        <v/>
      </c>
      <c r="I671" s="137" t="str">
        <f t="shared" si="32"/>
        <v/>
      </c>
    </row>
    <row r="672" spans="1:9" hidden="1" x14ac:dyDescent="0.25">
      <c r="A672" s="114" t="s">
        <v>2523</v>
      </c>
      <c r="B672" s="115" t="s">
        <v>2524</v>
      </c>
      <c r="C672" s="116" t="s">
        <v>20</v>
      </c>
      <c r="D672" s="116">
        <v>0</v>
      </c>
      <c r="E672" s="136" t="s">
        <v>572</v>
      </c>
      <c r="F672" s="137" t="str">
        <f t="shared" si="30"/>
        <v/>
      </c>
      <c r="G672" s="138" t="e">
        <f>IF(A672&lt;&gt;"",IF(AND(#REF!="Padrão",$H$4=#REF!),BDI!$B$17,IF(AND(#REF!="Padrão",$H$4=#REF!),BDI!#REF!,IF(AND(#REF!="Diferenciado",$H$4=#REF!),BDI!$E$17,IF(AND(#REF!="Diferenciado",$H$4=#REF!),BDI!#REF!,IF(#REF!="ZERO",0))))),"")</f>
        <v>#REF!</v>
      </c>
      <c r="H672" s="139" t="str">
        <f t="shared" si="31"/>
        <v/>
      </c>
      <c r="I672" s="137" t="str">
        <f t="shared" si="32"/>
        <v/>
      </c>
    </row>
    <row r="673" spans="1:9" hidden="1" x14ac:dyDescent="0.25">
      <c r="A673" s="114" t="s">
        <v>2525</v>
      </c>
      <c r="B673" s="115" t="s">
        <v>2526</v>
      </c>
      <c r="C673" s="116" t="s">
        <v>20</v>
      </c>
      <c r="D673" s="116">
        <v>0</v>
      </c>
      <c r="E673" s="136" t="s">
        <v>572</v>
      </c>
      <c r="F673" s="137" t="str">
        <f t="shared" si="30"/>
        <v/>
      </c>
      <c r="G673" s="138" t="e">
        <f>IF(A673&lt;&gt;"",IF(AND(#REF!="Padrão",$H$4=#REF!),BDI!$B$17,IF(AND(#REF!="Padrão",$H$4=#REF!),BDI!#REF!,IF(AND(#REF!="Diferenciado",$H$4=#REF!),BDI!$E$17,IF(AND(#REF!="Diferenciado",$H$4=#REF!),BDI!#REF!,IF(#REF!="ZERO",0))))),"")</f>
        <v>#REF!</v>
      </c>
      <c r="H673" s="139" t="str">
        <f t="shared" si="31"/>
        <v/>
      </c>
      <c r="I673" s="137" t="str">
        <f t="shared" si="32"/>
        <v/>
      </c>
    </row>
    <row r="674" spans="1:9" hidden="1" x14ac:dyDescent="0.25">
      <c r="A674" s="114" t="s">
        <v>2527</v>
      </c>
      <c r="B674" s="115" t="s">
        <v>2528</v>
      </c>
      <c r="C674" s="116" t="s">
        <v>20</v>
      </c>
      <c r="D674" s="116">
        <v>0</v>
      </c>
      <c r="E674" s="136" t="s">
        <v>572</v>
      </c>
      <c r="F674" s="137" t="str">
        <f t="shared" si="30"/>
        <v/>
      </c>
      <c r="G674" s="138" t="e">
        <f>IF(A674&lt;&gt;"",IF(AND(#REF!="Padrão",$H$4=#REF!),BDI!$B$17,IF(AND(#REF!="Padrão",$H$4=#REF!),BDI!#REF!,IF(AND(#REF!="Diferenciado",$H$4=#REF!),BDI!$E$17,IF(AND(#REF!="Diferenciado",$H$4=#REF!),BDI!#REF!,IF(#REF!="ZERO",0))))),"")</f>
        <v>#REF!</v>
      </c>
      <c r="H674" s="139" t="str">
        <f t="shared" si="31"/>
        <v/>
      </c>
      <c r="I674" s="137" t="str">
        <f t="shared" si="32"/>
        <v/>
      </c>
    </row>
    <row r="675" spans="1:9" hidden="1" x14ac:dyDescent="0.25">
      <c r="A675" s="114" t="s">
        <v>2529</v>
      </c>
      <c r="B675" s="115" t="s">
        <v>2530</v>
      </c>
      <c r="C675" s="116" t="s">
        <v>20</v>
      </c>
      <c r="D675" s="116">
        <v>0</v>
      </c>
      <c r="E675" s="136" t="s">
        <v>572</v>
      </c>
      <c r="F675" s="137" t="str">
        <f t="shared" si="30"/>
        <v/>
      </c>
      <c r="G675" s="138" t="e">
        <f>IF(A675&lt;&gt;"",IF(AND(#REF!="Padrão",$H$4=#REF!),BDI!$B$17,IF(AND(#REF!="Padrão",$H$4=#REF!),BDI!#REF!,IF(AND(#REF!="Diferenciado",$H$4=#REF!),BDI!$E$17,IF(AND(#REF!="Diferenciado",$H$4=#REF!),BDI!#REF!,IF(#REF!="ZERO",0))))),"")</f>
        <v>#REF!</v>
      </c>
      <c r="H675" s="139" t="str">
        <f t="shared" si="31"/>
        <v/>
      </c>
      <c r="I675" s="137" t="str">
        <f t="shared" si="32"/>
        <v/>
      </c>
    </row>
    <row r="676" spans="1:9" hidden="1" x14ac:dyDescent="0.25">
      <c r="A676" s="114" t="s">
        <v>2531</v>
      </c>
      <c r="B676" s="115" t="s">
        <v>2532</v>
      </c>
      <c r="C676" s="116" t="s">
        <v>20</v>
      </c>
      <c r="D676" s="116">
        <v>0</v>
      </c>
      <c r="E676" s="136" t="s">
        <v>572</v>
      </c>
      <c r="F676" s="137" t="str">
        <f t="shared" si="30"/>
        <v/>
      </c>
      <c r="G676" s="138" t="e">
        <f>IF(A676&lt;&gt;"",IF(AND(#REF!="Padrão",$H$4=#REF!),BDI!$B$17,IF(AND(#REF!="Padrão",$H$4=#REF!),BDI!#REF!,IF(AND(#REF!="Diferenciado",$H$4=#REF!),BDI!$E$17,IF(AND(#REF!="Diferenciado",$H$4=#REF!),BDI!#REF!,IF(#REF!="ZERO",0))))),"")</f>
        <v>#REF!</v>
      </c>
      <c r="H676" s="139" t="str">
        <f t="shared" si="31"/>
        <v/>
      </c>
      <c r="I676" s="137" t="str">
        <f t="shared" si="32"/>
        <v/>
      </c>
    </row>
    <row r="677" spans="1:9" hidden="1" x14ac:dyDescent="0.25">
      <c r="A677" s="114" t="s">
        <v>2533</v>
      </c>
      <c r="B677" s="115" t="s">
        <v>2534</v>
      </c>
      <c r="C677" s="116" t="s">
        <v>20</v>
      </c>
      <c r="D677" s="116">
        <v>0</v>
      </c>
      <c r="E677" s="136" t="s">
        <v>572</v>
      </c>
      <c r="F677" s="137" t="str">
        <f t="shared" si="30"/>
        <v/>
      </c>
      <c r="G677" s="138" t="e">
        <f>IF(A677&lt;&gt;"",IF(AND(#REF!="Padrão",$H$4=#REF!),BDI!$B$17,IF(AND(#REF!="Padrão",$H$4=#REF!),BDI!#REF!,IF(AND(#REF!="Diferenciado",$H$4=#REF!),BDI!$E$17,IF(AND(#REF!="Diferenciado",$H$4=#REF!),BDI!#REF!,IF(#REF!="ZERO",0))))),"")</f>
        <v>#REF!</v>
      </c>
      <c r="H677" s="139" t="str">
        <f t="shared" si="31"/>
        <v/>
      </c>
      <c r="I677" s="137" t="str">
        <f t="shared" si="32"/>
        <v/>
      </c>
    </row>
    <row r="678" spans="1:9" hidden="1" x14ac:dyDescent="0.25">
      <c r="A678" s="114" t="s">
        <v>2535</v>
      </c>
      <c r="B678" s="115" t="s">
        <v>2536</v>
      </c>
      <c r="C678" s="116" t="s">
        <v>20</v>
      </c>
      <c r="D678" s="116">
        <v>0</v>
      </c>
      <c r="E678" s="136" t="s">
        <v>572</v>
      </c>
      <c r="F678" s="137" t="str">
        <f t="shared" si="30"/>
        <v/>
      </c>
      <c r="G678" s="138" t="e">
        <f>IF(A678&lt;&gt;"",IF(AND(#REF!="Padrão",$H$4=#REF!),BDI!$B$17,IF(AND(#REF!="Padrão",$H$4=#REF!),BDI!#REF!,IF(AND(#REF!="Diferenciado",$H$4=#REF!),BDI!$E$17,IF(AND(#REF!="Diferenciado",$H$4=#REF!),BDI!#REF!,IF(#REF!="ZERO",0))))),"")</f>
        <v>#REF!</v>
      </c>
      <c r="H678" s="139" t="str">
        <f t="shared" si="31"/>
        <v/>
      </c>
      <c r="I678" s="137" t="str">
        <f t="shared" si="32"/>
        <v/>
      </c>
    </row>
    <row r="679" spans="1:9" hidden="1" x14ac:dyDescent="0.25">
      <c r="A679" s="114" t="s">
        <v>2537</v>
      </c>
      <c r="B679" s="115" t="s">
        <v>2538</v>
      </c>
      <c r="C679" s="116" t="s">
        <v>20</v>
      </c>
      <c r="D679" s="116">
        <v>0</v>
      </c>
      <c r="E679" s="136" t="s">
        <v>572</v>
      </c>
      <c r="F679" s="137" t="str">
        <f t="shared" si="30"/>
        <v/>
      </c>
      <c r="G679" s="138" t="e">
        <f>IF(A679&lt;&gt;"",IF(AND(#REF!="Padrão",$H$4=#REF!),BDI!$B$17,IF(AND(#REF!="Padrão",$H$4=#REF!),BDI!#REF!,IF(AND(#REF!="Diferenciado",$H$4=#REF!),BDI!$E$17,IF(AND(#REF!="Diferenciado",$H$4=#REF!),BDI!#REF!,IF(#REF!="ZERO",0))))),"")</f>
        <v>#REF!</v>
      </c>
      <c r="H679" s="139" t="str">
        <f t="shared" si="31"/>
        <v/>
      </c>
      <c r="I679" s="137" t="str">
        <f t="shared" si="32"/>
        <v/>
      </c>
    </row>
    <row r="680" spans="1:9" hidden="1" x14ac:dyDescent="0.25">
      <c r="A680" s="114" t="s">
        <v>2539</v>
      </c>
      <c r="B680" s="115" t="s">
        <v>2540</v>
      </c>
      <c r="C680" s="116" t="s">
        <v>20</v>
      </c>
      <c r="D680" s="116">
        <v>0</v>
      </c>
      <c r="E680" s="136" t="s">
        <v>572</v>
      </c>
      <c r="F680" s="137" t="str">
        <f t="shared" si="30"/>
        <v/>
      </c>
      <c r="G680" s="138" t="e">
        <f>IF(A680&lt;&gt;"",IF(AND(#REF!="Padrão",$H$4=#REF!),BDI!$B$17,IF(AND(#REF!="Padrão",$H$4=#REF!),BDI!#REF!,IF(AND(#REF!="Diferenciado",$H$4=#REF!),BDI!$E$17,IF(AND(#REF!="Diferenciado",$H$4=#REF!),BDI!#REF!,IF(#REF!="ZERO",0))))),"")</f>
        <v>#REF!</v>
      </c>
      <c r="H680" s="139" t="str">
        <f t="shared" si="31"/>
        <v/>
      </c>
      <c r="I680" s="137" t="str">
        <f t="shared" si="32"/>
        <v/>
      </c>
    </row>
    <row r="681" spans="1:9" hidden="1" x14ac:dyDescent="0.25">
      <c r="A681" s="114" t="s">
        <v>2541</v>
      </c>
      <c r="B681" s="115" t="s">
        <v>2542</v>
      </c>
      <c r="C681" s="116" t="s">
        <v>20</v>
      </c>
      <c r="D681" s="116">
        <v>0</v>
      </c>
      <c r="E681" s="136" t="s">
        <v>572</v>
      </c>
      <c r="F681" s="137" t="str">
        <f t="shared" si="30"/>
        <v/>
      </c>
      <c r="G681" s="138" t="e">
        <f>IF(A681&lt;&gt;"",IF(AND(#REF!="Padrão",$H$4=#REF!),BDI!$B$17,IF(AND(#REF!="Padrão",$H$4=#REF!),BDI!#REF!,IF(AND(#REF!="Diferenciado",$H$4=#REF!),BDI!$E$17,IF(AND(#REF!="Diferenciado",$H$4=#REF!),BDI!#REF!,IF(#REF!="ZERO",0))))),"")</f>
        <v>#REF!</v>
      </c>
      <c r="H681" s="139" t="str">
        <f t="shared" si="31"/>
        <v/>
      </c>
      <c r="I681" s="137" t="str">
        <f t="shared" si="32"/>
        <v/>
      </c>
    </row>
    <row r="682" spans="1:9" hidden="1" x14ac:dyDescent="0.25">
      <c r="A682" s="114" t="s">
        <v>2543</v>
      </c>
      <c r="B682" s="115" t="s">
        <v>2544</v>
      </c>
      <c r="C682" s="116" t="s">
        <v>20</v>
      </c>
      <c r="D682" s="116">
        <v>0</v>
      </c>
      <c r="E682" s="136" t="s">
        <v>572</v>
      </c>
      <c r="F682" s="137" t="str">
        <f t="shared" si="30"/>
        <v/>
      </c>
      <c r="G682" s="138" t="e">
        <f>IF(A682&lt;&gt;"",IF(AND(#REF!="Padrão",$H$4=#REF!),BDI!$B$17,IF(AND(#REF!="Padrão",$H$4=#REF!),BDI!#REF!,IF(AND(#REF!="Diferenciado",$H$4=#REF!),BDI!$E$17,IF(AND(#REF!="Diferenciado",$H$4=#REF!),BDI!#REF!,IF(#REF!="ZERO",0))))),"")</f>
        <v>#REF!</v>
      </c>
      <c r="H682" s="139" t="str">
        <f t="shared" si="31"/>
        <v/>
      </c>
      <c r="I682" s="137" t="str">
        <f t="shared" si="32"/>
        <v/>
      </c>
    </row>
    <row r="683" spans="1:9" hidden="1" x14ac:dyDescent="0.25">
      <c r="A683" s="114" t="s">
        <v>2545</v>
      </c>
      <c r="B683" s="115" t="s">
        <v>2546</v>
      </c>
      <c r="C683" s="116" t="s">
        <v>20</v>
      </c>
      <c r="D683" s="116">
        <v>0</v>
      </c>
      <c r="E683" s="136" t="s">
        <v>572</v>
      </c>
      <c r="F683" s="137" t="str">
        <f t="shared" si="30"/>
        <v/>
      </c>
      <c r="G683" s="138" t="e">
        <f>IF(A683&lt;&gt;"",IF(AND(#REF!="Padrão",$H$4=#REF!),BDI!$B$17,IF(AND(#REF!="Padrão",$H$4=#REF!),BDI!#REF!,IF(AND(#REF!="Diferenciado",$H$4=#REF!),BDI!$E$17,IF(AND(#REF!="Diferenciado",$H$4=#REF!),BDI!#REF!,IF(#REF!="ZERO",0))))),"")</f>
        <v>#REF!</v>
      </c>
      <c r="H683" s="139" t="str">
        <f t="shared" si="31"/>
        <v/>
      </c>
      <c r="I683" s="137" t="str">
        <f t="shared" si="32"/>
        <v/>
      </c>
    </row>
    <row r="684" spans="1:9" hidden="1" x14ac:dyDescent="0.25">
      <c r="A684" s="114" t="s">
        <v>2547</v>
      </c>
      <c r="B684" s="115" t="s">
        <v>2548</v>
      </c>
      <c r="C684" s="116" t="s">
        <v>20</v>
      </c>
      <c r="D684" s="116">
        <v>0</v>
      </c>
      <c r="E684" s="136" t="s">
        <v>572</v>
      </c>
      <c r="F684" s="137" t="str">
        <f t="shared" si="30"/>
        <v/>
      </c>
      <c r="G684" s="138" t="e">
        <f>IF(A684&lt;&gt;"",IF(AND(#REF!="Padrão",$H$4=#REF!),BDI!$B$17,IF(AND(#REF!="Padrão",$H$4=#REF!),BDI!#REF!,IF(AND(#REF!="Diferenciado",$H$4=#REF!),BDI!$E$17,IF(AND(#REF!="Diferenciado",$H$4=#REF!),BDI!#REF!,IF(#REF!="ZERO",0))))),"")</f>
        <v>#REF!</v>
      </c>
      <c r="H684" s="139" t="str">
        <f t="shared" si="31"/>
        <v/>
      </c>
      <c r="I684" s="137" t="str">
        <f t="shared" si="32"/>
        <v/>
      </c>
    </row>
    <row r="685" spans="1:9" hidden="1" x14ac:dyDescent="0.25">
      <c r="A685" s="114" t="s">
        <v>2549</v>
      </c>
      <c r="B685" s="115" t="s">
        <v>2550</v>
      </c>
      <c r="C685" s="116" t="s">
        <v>20</v>
      </c>
      <c r="D685" s="116">
        <v>0</v>
      </c>
      <c r="E685" s="136" t="s">
        <v>572</v>
      </c>
      <c r="F685" s="137" t="str">
        <f t="shared" si="30"/>
        <v/>
      </c>
      <c r="G685" s="138" t="e">
        <f>IF(A685&lt;&gt;"",IF(AND(#REF!="Padrão",$H$4=#REF!),BDI!$B$17,IF(AND(#REF!="Padrão",$H$4=#REF!),BDI!#REF!,IF(AND(#REF!="Diferenciado",$H$4=#REF!),BDI!$E$17,IF(AND(#REF!="Diferenciado",$H$4=#REF!),BDI!#REF!,IF(#REF!="ZERO",0))))),"")</f>
        <v>#REF!</v>
      </c>
      <c r="H685" s="139" t="str">
        <f t="shared" si="31"/>
        <v/>
      </c>
      <c r="I685" s="137" t="str">
        <f t="shared" si="32"/>
        <v/>
      </c>
    </row>
    <row r="686" spans="1:9" hidden="1" x14ac:dyDescent="0.25">
      <c r="A686" s="114" t="s">
        <v>2551</v>
      </c>
      <c r="B686" s="115" t="s">
        <v>2552</v>
      </c>
      <c r="C686" s="116" t="s">
        <v>20</v>
      </c>
      <c r="D686" s="116">
        <v>0</v>
      </c>
      <c r="E686" s="136" t="s">
        <v>572</v>
      </c>
      <c r="F686" s="137" t="str">
        <f t="shared" si="30"/>
        <v/>
      </c>
      <c r="G686" s="138" t="e">
        <f>IF(A686&lt;&gt;"",IF(AND(#REF!="Padrão",$H$4=#REF!),BDI!$B$17,IF(AND(#REF!="Padrão",$H$4=#REF!),BDI!#REF!,IF(AND(#REF!="Diferenciado",$H$4=#REF!),BDI!$E$17,IF(AND(#REF!="Diferenciado",$H$4=#REF!),BDI!#REF!,IF(#REF!="ZERO",0))))),"")</f>
        <v>#REF!</v>
      </c>
      <c r="H686" s="139" t="str">
        <f t="shared" si="31"/>
        <v/>
      </c>
      <c r="I686" s="137" t="str">
        <f t="shared" si="32"/>
        <v/>
      </c>
    </row>
    <row r="687" spans="1:9" hidden="1" x14ac:dyDescent="0.25">
      <c r="A687" s="114" t="s">
        <v>2553</v>
      </c>
      <c r="B687" s="115" t="s">
        <v>2554</v>
      </c>
      <c r="C687" s="116" t="s">
        <v>20</v>
      </c>
      <c r="D687" s="116">
        <v>0</v>
      </c>
      <c r="E687" s="136" t="s">
        <v>572</v>
      </c>
      <c r="F687" s="137" t="str">
        <f t="shared" si="30"/>
        <v/>
      </c>
      <c r="G687" s="138" t="e">
        <f>IF(A687&lt;&gt;"",IF(AND(#REF!="Padrão",$H$4=#REF!),BDI!$B$17,IF(AND(#REF!="Padrão",$H$4=#REF!),BDI!#REF!,IF(AND(#REF!="Diferenciado",$H$4=#REF!),BDI!$E$17,IF(AND(#REF!="Diferenciado",$H$4=#REF!),BDI!#REF!,IF(#REF!="ZERO",0))))),"")</f>
        <v>#REF!</v>
      </c>
      <c r="H687" s="139" t="str">
        <f t="shared" si="31"/>
        <v/>
      </c>
      <c r="I687" s="137" t="str">
        <f t="shared" si="32"/>
        <v/>
      </c>
    </row>
    <row r="688" spans="1:9" hidden="1" x14ac:dyDescent="0.25">
      <c r="A688" s="114" t="s">
        <v>2555</v>
      </c>
      <c r="B688" s="115" t="s">
        <v>2556</v>
      </c>
      <c r="C688" s="116" t="s">
        <v>20</v>
      </c>
      <c r="D688" s="116">
        <v>0</v>
      </c>
      <c r="E688" s="136" t="s">
        <v>572</v>
      </c>
      <c r="F688" s="137" t="str">
        <f t="shared" si="30"/>
        <v/>
      </c>
      <c r="G688" s="138" t="e">
        <f>IF(A688&lt;&gt;"",IF(AND(#REF!="Padrão",$H$4=#REF!),BDI!$B$17,IF(AND(#REF!="Padrão",$H$4=#REF!),BDI!#REF!,IF(AND(#REF!="Diferenciado",$H$4=#REF!),BDI!$E$17,IF(AND(#REF!="Diferenciado",$H$4=#REF!),BDI!#REF!,IF(#REF!="ZERO",0))))),"")</f>
        <v>#REF!</v>
      </c>
      <c r="H688" s="139" t="str">
        <f t="shared" si="31"/>
        <v/>
      </c>
      <c r="I688" s="137" t="str">
        <f t="shared" si="32"/>
        <v/>
      </c>
    </row>
    <row r="689" spans="1:9" hidden="1" x14ac:dyDescent="0.25">
      <c r="A689" s="114" t="s">
        <v>2557</v>
      </c>
      <c r="B689" s="115" t="s">
        <v>2558</v>
      </c>
      <c r="C689" s="116" t="s">
        <v>20</v>
      </c>
      <c r="D689" s="116">
        <v>0</v>
      </c>
      <c r="E689" s="136" t="s">
        <v>572</v>
      </c>
      <c r="F689" s="137" t="str">
        <f t="shared" si="30"/>
        <v/>
      </c>
      <c r="G689" s="138" t="e">
        <f>IF(A689&lt;&gt;"",IF(AND(#REF!="Padrão",$H$4=#REF!),BDI!$B$17,IF(AND(#REF!="Padrão",$H$4=#REF!),BDI!#REF!,IF(AND(#REF!="Diferenciado",$H$4=#REF!),BDI!$E$17,IF(AND(#REF!="Diferenciado",$H$4=#REF!),BDI!#REF!,IF(#REF!="ZERO",0))))),"")</f>
        <v>#REF!</v>
      </c>
      <c r="H689" s="139" t="str">
        <f t="shared" si="31"/>
        <v/>
      </c>
      <c r="I689" s="137" t="str">
        <f t="shared" si="32"/>
        <v/>
      </c>
    </row>
    <row r="690" spans="1:9" hidden="1" x14ac:dyDescent="0.25">
      <c r="A690" s="114" t="s">
        <v>2559</v>
      </c>
      <c r="B690" s="115" t="s">
        <v>2560</v>
      </c>
      <c r="C690" s="116" t="s">
        <v>20</v>
      </c>
      <c r="D690" s="116">
        <v>0</v>
      </c>
      <c r="E690" s="136" t="s">
        <v>572</v>
      </c>
      <c r="F690" s="137" t="str">
        <f t="shared" si="30"/>
        <v/>
      </c>
      <c r="G690" s="138" t="e">
        <f>IF(A690&lt;&gt;"",IF(AND(#REF!="Padrão",$H$4=#REF!),BDI!$B$17,IF(AND(#REF!="Padrão",$H$4=#REF!),BDI!#REF!,IF(AND(#REF!="Diferenciado",$H$4=#REF!),BDI!$E$17,IF(AND(#REF!="Diferenciado",$H$4=#REF!),BDI!#REF!,IF(#REF!="ZERO",0))))),"")</f>
        <v>#REF!</v>
      </c>
      <c r="H690" s="139" t="str">
        <f t="shared" si="31"/>
        <v/>
      </c>
      <c r="I690" s="137" t="str">
        <f t="shared" si="32"/>
        <v/>
      </c>
    </row>
    <row r="691" spans="1:9" hidden="1" x14ac:dyDescent="0.25">
      <c r="A691" s="114" t="s">
        <v>2561</v>
      </c>
      <c r="B691" s="115" t="s">
        <v>2562</v>
      </c>
      <c r="C691" s="116" t="s">
        <v>20</v>
      </c>
      <c r="D691" s="116">
        <v>0</v>
      </c>
      <c r="E691" s="136" t="s">
        <v>572</v>
      </c>
      <c r="F691" s="137" t="str">
        <f t="shared" si="30"/>
        <v/>
      </c>
      <c r="G691" s="138" t="e">
        <f>IF(A691&lt;&gt;"",IF(AND(#REF!="Padrão",$H$4=#REF!),BDI!$B$17,IF(AND(#REF!="Padrão",$H$4=#REF!),BDI!#REF!,IF(AND(#REF!="Diferenciado",$H$4=#REF!),BDI!$E$17,IF(AND(#REF!="Diferenciado",$H$4=#REF!),BDI!#REF!,IF(#REF!="ZERO",0))))),"")</f>
        <v>#REF!</v>
      </c>
      <c r="H691" s="139" t="str">
        <f t="shared" si="31"/>
        <v/>
      </c>
      <c r="I691" s="137" t="str">
        <f t="shared" si="32"/>
        <v/>
      </c>
    </row>
    <row r="692" spans="1:9" hidden="1" x14ac:dyDescent="0.25">
      <c r="A692" s="114" t="s">
        <v>2563</v>
      </c>
      <c r="B692" s="115" t="s">
        <v>2564</v>
      </c>
      <c r="C692" s="116" t="s">
        <v>20</v>
      </c>
      <c r="D692" s="116">
        <v>0</v>
      </c>
      <c r="E692" s="136" t="s">
        <v>572</v>
      </c>
      <c r="F692" s="137" t="str">
        <f t="shared" si="30"/>
        <v/>
      </c>
      <c r="G692" s="138" t="e">
        <f>IF(A692&lt;&gt;"",IF(AND(#REF!="Padrão",$H$4=#REF!),BDI!$B$17,IF(AND(#REF!="Padrão",$H$4=#REF!),BDI!#REF!,IF(AND(#REF!="Diferenciado",$H$4=#REF!),BDI!$E$17,IF(AND(#REF!="Diferenciado",$H$4=#REF!),BDI!#REF!,IF(#REF!="ZERO",0))))),"")</f>
        <v>#REF!</v>
      </c>
      <c r="H692" s="139" t="str">
        <f t="shared" si="31"/>
        <v/>
      </c>
      <c r="I692" s="137" t="str">
        <f t="shared" si="32"/>
        <v/>
      </c>
    </row>
    <row r="693" spans="1:9" hidden="1" x14ac:dyDescent="0.25">
      <c r="A693" s="114" t="s">
        <v>2565</v>
      </c>
      <c r="B693" s="115" t="s">
        <v>2566</v>
      </c>
      <c r="C693" s="116" t="s">
        <v>20</v>
      </c>
      <c r="D693" s="116">
        <v>0</v>
      </c>
      <c r="E693" s="136" t="s">
        <v>572</v>
      </c>
      <c r="F693" s="137" t="str">
        <f t="shared" si="30"/>
        <v/>
      </c>
      <c r="G693" s="138" t="e">
        <f>IF(A693&lt;&gt;"",IF(AND(#REF!="Padrão",$H$4=#REF!),BDI!$B$17,IF(AND(#REF!="Padrão",$H$4=#REF!),BDI!#REF!,IF(AND(#REF!="Diferenciado",$H$4=#REF!),BDI!$E$17,IF(AND(#REF!="Diferenciado",$H$4=#REF!),BDI!#REF!,IF(#REF!="ZERO",0))))),"")</f>
        <v>#REF!</v>
      </c>
      <c r="H693" s="139" t="str">
        <f t="shared" si="31"/>
        <v/>
      </c>
      <c r="I693" s="137" t="str">
        <f t="shared" si="32"/>
        <v/>
      </c>
    </row>
    <row r="694" spans="1:9" hidden="1" x14ac:dyDescent="0.25">
      <c r="A694" s="114" t="s">
        <v>2567</v>
      </c>
      <c r="B694" s="115" t="s">
        <v>2568</v>
      </c>
      <c r="C694" s="116" t="s">
        <v>20</v>
      </c>
      <c r="D694" s="116">
        <v>0</v>
      </c>
      <c r="E694" s="136" t="s">
        <v>572</v>
      </c>
      <c r="F694" s="137" t="str">
        <f t="shared" si="30"/>
        <v/>
      </c>
      <c r="G694" s="138" t="e">
        <f>IF(A694&lt;&gt;"",IF(AND(#REF!="Padrão",$H$4=#REF!),BDI!$B$17,IF(AND(#REF!="Padrão",$H$4=#REF!),BDI!#REF!,IF(AND(#REF!="Diferenciado",$H$4=#REF!),BDI!$E$17,IF(AND(#REF!="Diferenciado",$H$4=#REF!),BDI!#REF!,IF(#REF!="ZERO",0))))),"")</f>
        <v>#REF!</v>
      </c>
      <c r="H694" s="139" t="str">
        <f t="shared" si="31"/>
        <v/>
      </c>
      <c r="I694" s="137" t="str">
        <f t="shared" si="32"/>
        <v/>
      </c>
    </row>
    <row r="695" spans="1:9" hidden="1" x14ac:dyDescent="0.25">
      <c r="A695" s="114" t="s">
        <v>2569</v>
      </c>
      <c r="B695" s="115" t="s">
        <v>2570</v>
      </c>
      <c r="C695" s="116" t="s">
        <v>20</v>
      </c>
      <c r="D695" s="116">
        <v>0</v>
      </c>
      <c r="E695" s="136" t="s">
        <v>572</v>
      </c>
      <c r="F695" s="137" t="str">
        <f t="shared" si="30"/>
        <v/>
      </c>
      <c r="G695" s="138" t="e">
        <f>IF(A695&lt;&gt;"",IF(AND(#REF!="Padrão",$H$4=#REF!),BDI!$B$17,IF(AND(#REF!="Padrão",$H$4=#REF!),BDI!#REF!,IF(AND(#REF!="Diferenciado",$H$4=#REF!),BDI!$E$17,IF(AND(#REF!="Diferenciado",$H$4=#REF!),BDI!#REF!,IF(#REF!="ZERO",0))))),"")</f>
        <v>#REF!</v>
      </c>
      <c r="H695" s="139" t="str">
        <f t="shared" si="31"/>
        <v/>
      </c>
      <c r="I695" s="137" t="str">
        <f t="shared" si="32"/>
        <v/>
      </c>
    </row>
    <row r="696" spans="1:9" hidden="1" x14ac:dyDescent="0.25">
      <c r="A696" s="114" t="s">
        <v>2571</v>
      </c>
      <c r="B696" s="115" t="s">
        <v>2572</v>
      </c>
      <c r="C696" s="116" t="s">
        <v>20</v>
      </c>
      <c r="D696" s="116">
        <v>0</v>
      </c>
      <c r="E696" s="136" t="s">
        <v>572</v>
      </c>
      <c r="F696" s="137" t="str">
        <f t="shared" si="30"/>
        <v/>
      </c>
      <c r="G696" s="138" t="e">
        <f>IF(A696&lt;&gt;"",IF(AND(#REF!="Padrão",$H$4=#REF!),BDI!$B$17,IF(AND(#REF!="Padrão",$H$4=#REF!),BDI!#REF!,IF(AND(#REF!="Diferenciado",$H$4=#REF!),BDI!$E$17,IF(AND(#REF!="Diferenciado",$H$4=#REF!),BDI!#REF!,IF(#REF!="ZERO",0))))),"")</f>
        <v>#REF!</v>
      </c>
      <c r="H696" s="139" t="str">
        <f t="shared" si="31"/>
        <v/>
      </c>
      <c r="I696" s="137" t="str">
        <f t="shared" si="32"/>
        <v/>
      </c>
    </row>
    <row r="697" spans="1:9" hidden="1" x14ac:dyDescent="0.25">
      <c r="A697" s="114" t="s">
        <v>2573</v>
      </c>
      <c r="B697" s="115" t="s">
        <v>2574</v>
      </c>
      <c r="C697" s="116" t="s">
        <v>20</v>
      </c>
      <c r="D697" s="116">
        <v>0</v>
      </c>
      <c r="E697" s="136" t="s">
        <v>572</v>
      </c>
      <c r="F697" s="137" t="str">
        <f t="shared" si="30"/>
        <v/>
      </c>
      <c r="G697" s="138" t="e">
        <f>IF(A697&lt;&gt;"",IF(AND(#REF!="Padrão",$H$4=#REF!),BDI!$B$17,IF(AND(#REF!="Padrão",$H$4=#REF!),BDI!#REF!,IF(AND(#REF!="Diferenciado",$H$4=#REF!),BDI!$E$17,IF(AND(#REF!="Diferenciado",$H$4=#REF!),BDI!#REF!,IF(#REF!="ZERO",0))))),"")</f>
        <v>#REF!</v>
      </c>
      <c r="H697" s="139" t="str">
        <f t="shared" si="31"/>
        <v/>
      </c>
      <c r="I697" s="137" t="str">
        <f t="shared" si="32"/>
        <v/>
      </c>
    </row>
    <row r="698" spans="1:9" hidden="1" x14ac:dyDescent="0.25">
      <c r="A698" s="114" t="s">
        <v>2575</v>
      </c>
      <c r="B698" s="115" t="s">
        <v>2576</v>
      </c>
      <c r="C698" s="116" t="s">
        <v>20</v>
      </c>
      <c r="D698" s="116">
        <v>0</v>
      </c>
      <c r="E698" s="136" t="s">
        <v>572</v>
      </c>
      <c r="F698" s="137" t="str">
        <f t="shared" si="30"/>
        <v/>
      </c>
      <c r="G698" s="138" t="e">
        <f>IF(A698&lt;&gt;"",IF(AND(#REF!="Padrão",$H$4=#REF!),BDI!$B$17,IF(AND(#REF!="Padrão",$H$4=#REF!),BDI!#REF!,IF(AND(#REF!="Diferenciado",$H$4=#REF!),BDI!$E$17,IF(AND(#REF!="Diferenciado",$H$4=#REF!),BDI!#REF!,IF(#REF!="ZERO",0))))),"")</f>
        <v>#REF!</v>
      </c>
      <c r="H698" s="139" t="str">
        <f t="shared" si="31"/>
        <v/>
      </c>
      <c r="I698" s="137" t="str">
        <f t="shared" si="32"/>
        <v/>
      </c>
    </row>
    <row r="699" spans="1:9" hidden="1" x14ac:dyDescent="0.25">
      <c r="A699" s="114" t="s">
        <v>2577</v>
      </c>
      <c r="B699" s="115" t="s">
        <v>2578</v>
      </c>
      <c r="C699" s="116" t="s">
        <v>20</v>
      </c>
      <c r="D699" s="116">
        <v>0</v>
      </c>
      <c r="E699" s="136" t="s">
        <v>572</v>
      </c>
      <c r="F699" s="137" t="str">
        <f t="shared" si="30"/>
        <v/>
      </c>
      <c r="G699" s="138" t="e">
        <f>IF(A699&lt;&gt;"",IF(AND(#REF!="Padrão",$H$4=#REF!),BDI!$B$17,IF(AND(#REF!="Padrão",$H$4=#REF!),BDI!#REF!,IF(AND(#REF!="Diferenciado",$H$4=#REF!),BDI!$E$17,IF(AND(#REF!="Diferenciado",$H$4=#REF!),BDI!#REF!,IF(#REF!="ZERO",0))))),"")</f>
        <v>#REF!</v>
      </c>
      <c r="H699" s="139" t="str">
        <f t="shared" si="31"/>
        <v/>
      </c>
      <c r="I699" s="137" t="str">
        <f t="shared" si="32"/>
        <v/>
      </c>
    </row>
    <row r="700" spans="1:9" hidden="1" x14ac:dyDescent="0.25">
      <c r="A700" s="114" t="s">
        <v>2579</v>
      </c>
      <c r="B700" s="115" t="s">
        <v>2580</v>
      </c>
      <c r="C700" s="116" t="s">
        <v>20</v>
      </c>
      <c r="D700" s="116">
        <v>0</v>
      </c>
      <c r="E700" s="136" t="s">
        <v>572</v>
      </c>
      <c r="F700" s="137" t="str">
        <f t="shared" si="30"/>
        <v/>
      </c>
      <c r="G700" s="138" t="e">
        <f>IF(A700&lt;&gt;"",IF(AND(#REF!="Padrão",$H$4=#REF!),BDI!$B$17,IF(AND(#REF!="Padrão",$H$4=#REF!),BDI!#REF!,IF(AND(#REF!="Diferenciado",$H$4=#REF!),BDI!$E$17,IF(AND(#REF!="Diferenciado",$H$4=#REF!),BDI!#REF!,IF(#REF!="ZERO",0))))),"")</f>
        <v>#REF!</v>
      </c>
      <c r="H700" s="139" t="str">
        <f t="shared" si="31"/>
        <v/>
      </c>
      <c r="I700" s="137" t="str">
        <f t="shared" si="32"/>
        <v/>
      </c>
    </row>
    <row r="701" spans="1:9" hidden="1" x14ac:dyDescent="0.25">
      <c r="A701" s="114" t="s">
        <v>2581</v>
      </c>
      <c r="B701" s="115" t="s">
        <v>2582</v>
      </c>
      <c r="C701" s="116" t="s">
        <v>20</v>
      </c>
      <c r="D701" s="116">
        <v>0</v>
      </c>
      <c r="E701" s="136" t="s">
        <v>572</v>
      </c>
      <c r="F701" s="137" t="str">
        <f t="shared" si="30"/>
        <v/>
      </c>
      <c r="G701" s="138" t="e">
        <f>IF(A701&lt;&gt;"",IF(AND(#REF!="Padrão",$H$4=#REF!),BDI!$B$17,IF(AND(#REF!="Padrão",$H$4=#REF!),BDI!#REF!,IF(AND(#REF!="Diferenciado",$H$4=#REF!),BDI!$E$17,IF(AND(#REF!="Diferenciado",$H$4=#REF!),BDI!#REF!,IF(#REF!="ZERO",0))))),"")</f>
        <v>#REF!</v>
      </c>
      <c r="H701" s="139" t="str">
        <f t="shared" si="31"/>
        <v/>
      </c>
      <c r="I701" s="137" t="str">
        <f t="shared" si="32"/>
        <v/>
      </c>
    </row>
    <row r="702" spans="1:9" hidden="1" x14ac:dyDescent="0.25">
      <c r="A702" s="114" t="s">
        <v>2583</v>
      </c>
      <c r="B702" s="115" t="s">
        <v>2584</v>
      </c>
      <c r="C702" s="116" t="s">
        <v>20</v>
      </c>
      <c r="D702" s="116">
        <v>0</v>
      </c>
      <c r="E702" s="136" t="s">
        <v>572</v>
      </c>
      <c r="F702" s="137" t="str">
        <f t="shared" si="30"/>
        <v/>
      </c>
      <c r="G702" s="138" t="e">
        <f>IF(A702&lt;&gt;"",IF(AND(#REF!="Padrão",$H$4=#REF!),BDI!$B$17,IF(AND(#REF!="Padrão",$H$4=#REF!),BDI!#REF!,IF(AND(#REF!="Diferenciado",$H$4=#REF!),BDI!$E$17,IF(AND(#REF!="Diferenciado",$H$4=#REF!),BDI!#REF!,IF(#REF!="ZERO",0))))),"")</f>
        <v>#REF!</v>
      </c>
      <c r="H702" s="139" t="str">
        <f t="shared" si="31"/>
        <v/>
      </c>
      <c r="I702" s="137" t="str">
        <f t="shared" si="32"/>
        <v/>
      </c>
    </row>
    <row r="703" spans="1:9" hidden="1" x14ac:dyDescent="0.25">
      <c r="A703" s="114" t="s">
        <v>2585</v>
      </c>
      <c r="B703" s="115" t="s">
        <v>2586</v>
      </c>
      <c r="C703" s="116" t="s">
        <v>20</v>
      </c>
      <c r="D703" s="116">
        <v>0</v>
      </c>
      <c r="E703" s="136" t="s">
        <v>572</v>
      </c>
      <c r="F703" s="137" t="str">
        <f t="shared" si="30"/>
        <v/>
      </c>
      <c r="G703" s="138" t="e">
        <f>IF(A703&lt;&gt;"",IF(AND(#REF!="Padrão",$H$4=#REF!),BDI!$B$17,IF(AND(#REF!="Padrão",$H$4=#REF!),BDI!#REF!,IF(AND(#REF!="Diferenciado",$H$4=#REF!),BDI!$E$17,IF(AND(#REF!="Diferenciado",$H$4=#REF!),BDI!#REF!,IF(#REF!="ZERO",0))))),"")</f>
        <v>#REF!</v>
      </c>
      <c r="H703" s="139" t="str">
        <f t="shared" si="31"/>
        <v/>
      </c>
      <c r="I703" s="137" t="str">
        <f t="shared" si="32"/>
        <v/>
      </c>
    </row>
    <row r="704" spans="1:9" hidden="1" x14ac:dyDescent="0.25">
      <c r="A704" s="114" t="s">
        <v>2587</v>
      </c>
      <c r="B704" s="115" t="s">
        <v>2588</v>
      </c>
      <c r="C704" s="116" t="s">
        <v>20</v>
      </c>
      <c r="D704" s="116">
        <v>0</v>
      </c>
      <c r="E704" s="136" t="s">
        <v>572</v>
      </c>
      <c r="F704" s="137" t="str">
        <f t="shared" si="30"/>
        <v/>
      </c>
      <c r="G704" s="138" t="e">
        <f>IF(A704&lt;&gt;"",IF(AND(#REF!="Padrão",$H$4=#REF!),BDI!$B$17,IF(AND(#REF!="Padrão",$H$4=#REF!),BDI!#REF!,IF(AND(#REF!="Diferenciado",$H$4=#REF!),BDI!$E$17,IF(AND(#REF!="Diferenciado",$H$4=#REF!),BDI!#REF!,IF(#REF!="ZERO",0))))),"")</f>
        <v>#REF!</v>
      </c>
      <c r="H704" s="139" t="str">
        <f t="shared" si="31"/>
        <v/>
      </c>
      <c r="I704" s="137" t="str">
        <f t="shared" si="32"/>
        <v/>
      </c>
    </row>
    <row r="705" spans="1:9" hidden="1" x14ac:dyDescent="0.25">
      <c r="A705" s="114" t="s">
        <v>2589</v>
      </c>
      <c r="B705" s="115" t="s">
        <v>2590</v>
      </c>
      <c r="C705" s="116" t="s">
        <v>20</v>
      </c>
      <c r="D705" s="116">
        <v>0</v>
      </c>
      <c r="E705" s="136" t="s">
        <v>572</v>
      </c>
      <c r="F705" s="137" t="str">
        <f t="shared" si="30"/>
        <v/>
      </c>
      <c r="G705" s="138" t="e">
        <f>IF(A705&lt;&gt;"",IF(AND(#REF!="Padrão",$H$4=#REF!),BDI!$B$17,IF(AND(#REF!="Padrão",$H$4=#REF!),BDI!#REF!,IF(AND(#REF!="Diferenciado",$H$4=#REF!),BDI!$E$17,IF(AND(#REF!="Diferenciado",$H$4=#REF!),BDI!#REF!,IF(#REF!="ZERO",0))))),"")</f>
        <v>#REF!</v>
      </c>
      <c r="H705" s="139" t="str">
        <f t="shared" si="31"/>
        <v/>
      </c>
      <c r="I705" s="137" t="str">
        <f t="shared" si="32"/>
        <v/>
      </c>
    </row>
    <row r="706" spans="1:9" hidden="1" x14ac:dyDescent="0.25">
      <c r="A706" s="114" t="s">
        <v>2591</v>
      </c>
      <c r="B706" s="115" t="s">
        <v>2592</v>
      </c>
      <c r="C706" s="116" t="s">
        <v>20</v>
      </c>
      <c r="D706" s="116">
        <v>0</v>
      </c>
      <c r="E706" s="136" t="s">
        <v>572</v>
      </c>
      <c r="F706" s="137" t="str">
        <f t="shared" si="30"/>
        <v/>
      </c>
      <c r="G706" s="138" t="e">
        <f>IF(A706&lt;&gt;"",IF(AND(#REF!="Padrão",$H$4=#REF!),BDI!$B$17,IF(AND(#REF!="Padrão",$H$4=#REF!),BDI!#REF!,IF(AND(#REF!="Diferenciado",$H$4=#REF!),BDI!$E$17,IF(AND(#REF!="Diferenciado",$H$4=#REF!),BDI!#REF!,IF(#REF!="ZERO",0))))),"")</f>
        <v>#REF!</v>
      </c>
      <c r="H706" s="139" t="str">
        <f t="shared" si="31"/>
        <v/>
      </c>
      <c r="I706" s="137" t="str">
        <f t="shared" si="32"/>
        <v/>
      </c>
    </row>
    <row r="707" spans="1:9" hidden="1" x14ac:dyDescent="0.25">
      <c r="A707" s="114" t="s">
        <v>2593</v>
      </c>
      <c r="B707" s="115" t="s">
        <v>2594</v>
      </c>
      <c r="C707" s="116" t="s">
        <v>20</v>
      </c>
      <c r="D707" s="116">
        <v>0</v>
      </c>
      <c r="E707" s="136" t="s">
        <v>572</v>
      </c>
      <c r="F707" s="137" t="str">
        <f t="shared" si="30"/>
        <v/>
      </c>
      <c r="G707" s="138" t="e">
        <f>IF(A707&lt;&gt;"",IF(AND(#REF!="Padrão",$H$4=#REF!),BDI!$B$17,IF(AND(#REF!="Padrão",$H$4=#REF!),BDI!#REF!,IF(AND(#REF!="Diferenciado",$H$4=#REF!),BDI!$E$17,IF(AND(#REF!="Diferenciado",$H$4=#REF!),BDI!#REF!,IF(#REF!="ZERO",0))))),"")</f>
        <v>#REF!</v>
      </c>
      <c r="H707" s="139" t="str">
        <f t="shared" si="31"/>
        <v/>
      </c>
      <c r="I707" s="137" t="str">
        <f t="shared" si="32"/>
        <v/>
      </c>
    </row>
    <row r="708" spans="1:9" hidden="1" x14ac:dyDescent="0.25">
      <c r="A708" s="114" t="s">
        <v>2595</v>
      </c>
      <c r="B708" s="115" t="s">
        <v>2596</v>
      </c>
      <c r="C708" s="116" t="s">
        <v>20</v>
      </c>
      <c r="D708" s="116">
        <v>0</v>
      </c>
      <c r="E708" s="136" t="s">
        <v>572</v>
      </c>
      <c r="F708" s="137" t="str">
        <f t="shared" si="30"/>
        <v/>
      </c>
      <c r="G708" s="138" t="e">
        <f>IF(A708&lt;&gt;"",IF(AND(#REF!="Padrão",$H$4=#REF!),BDI!$B$17,IF(AND(#REF!="Padrão",$H$4=#REF!),BDI!#REF!,IF(AND(#REF!="Diferenciado",$H$4=#REF!),BDI!$E$17,IF(AND(#REF!="Diferenciado",$H$4=#REF!),BDI!#REF!,IF(#REF!="ZERO",0))))),"")</f>
        <v>#REF!</v>
      </c>
      <c r="H708" s="139" t="str">
        <f t="shared" si="31"/>
        <v/>
      </c>
      <c r="I708" s="137" t="str">
        <f t="shared" si="32"/>
        <v/>
      </c>
    </row>
    <row r="709" spans="1:9" hidden="1" x14ac:dyDescent="0.25">
      <c r="A709" s="114" t="s">
        <v>2597</v>
      </c>
      <c r="B709" s="115" t="s">
        <v>2598</v>
      </c>
      <c r="C709" s="116" t="s">
        <v>20</v>
      </c>
      <c r="D709" s="116">
        <v>0</v>
      </c>
      <c r="E709" s="136" t="s">
        <v>572</v>
      </c>
      <c r="F709" s="137" t="str">
        <f t="shared" si="30"/>
        <v/>
      </c>
      <c r="G709" s="138" t="e">
        <f>IF(A709&lt;&gt;"",IF(AND(#REF!="Padrão",$H$4=#REF!),BDI!$B$17,IF(AND(#REF!="Padrão",$H$4=#REF!),BDI!#REF!,IF(AND(#REF!="Diferenciado",$H$4=#REF!),BDI!$E$17,IF(AND(#REF!="Diferenciado",$H$4=#REF!),BDI!#REF!,IF(#REF!="ZERO",0))))),"")</f>
        <v>#REF!</v>
      </c>
      <c r="H709" s="139" t="str">
        <f t="shared" si="31"/>
        <v/>
      </c>
      <c r="I709" s="137" t="str">
        <f t="shared" si="32"/>
        <v/>
      </c>
    </row>
    <row r="710" spans="1:9" hidden="1" x14ac:dyDescent="0.25">
      <c r="A710" s="114" t="s">
        <v>2599</v>
      </c>
      <c r="B710" s="115" t="s">
        <v>2600</v>
      </c>
      <c r="C710" s="116" t="s">
        <v>20</v>
      </c>
      <c r="D710" s="116">
        <v>0</v>
      </c>
      <c r="E710" s="136" t="s">
        <v>572</v>
      </c>
      <c r="F710" s="137" t="str">
        <f t="shared" si="30"/>
        <v/>
      </c>
      <c r="G710" s="138" t="e">
        <f>IF(A710&lt;&gt;"",IF(AND(#REF!="Padrão",$H$4=#REF!),BDI!$B$17,IF(AND(#REF!="Padrão",$H$4=#REF!),BDI!#REF!,IF(AND(#REF!="Diferenciado",$H$4=#REF!),BDI!$E$17,IF(AND(#REF!="Diferenciado",$H$4=#REF!),BDI!#REF!,IF(#REF!="ZERO",0))))),"")</f>
        <v>#REF!</v>
      </c>
      <c r="H710" s="139" t="str">
        <f t="shared" si="31"/>
        <v/>
      </c>
      <c r="I710" s="137" t="str">
        <f t="shared" si="32"/>
        <v/>
      </c>
    </row>
    <row r="711" spans="1:9" hidden="1" x14ac:dyDescent="0.25">
      <c r="A711" s="114" t="s">
        <v>2601</v>
      </c>
      <c r="B711" s="115" t="s">
        <v>2602</v>
      </c>
      <c r="C711" s="116" t="s">
        <v>20</v>
      </c>
      <c r="D711" s="116">
        <v>0</v>
      </c>
      <c r="E711" s="136" t="s">
        <v>572</v>
      </c>
      <c r="F711" s="137" t="str">
        <f t="shared" ref="F711:F774" si="33">IF(ISNUMBER(E711),D711*E711,"")</f>
        <v/>
      </c>
      <c r="G711" s="138" t="e">
        <f>IF(A711&lt;&gt;"",IF(AND(#REF!="Padrão",$H$4=#REF!),BDI!$B$17,IF(AND(#REF!="Padrão",$H$4=#REF!),BDI!#REF!,IF(AND(#REF!="Diferenciado",$H$4=#REF!),BDI!$E$17,IF(AND(#REF!="Diferenciado",$H$4=#REF!),BDI!#REF!,IF(#REF!="ZERO",0))))),"")</f>
        <v>#REF!</v>
      </c>
      <c r="H711" s="139" t="str">
        <f t="shared" ref="H711:H774" si="34">IF(ISNUMBER(E711),ROUND(E711*(1+G711),2),"")</f>
        <v/>
      </c>
      <c r="I711" s="137" t="str">
        <f t="shared" ref="I711:I774" si="35">IF(ISNUMBER(E711),ROUND(H711*D711,2),"")</f>
        <v/>
      </c>
    </row>
    <row r="712" spans="1:9" hidden="1" x14ac:dyDescent="0.25">
      <c r="A712" s="114" t="s">
        <v>2603</v>
      </c>
      <c r="B712" s="115" t="s">
        <v>2604</v>
      </c>
      <c r="C712" s="116" t="s">
        <v>20</v>
      </c>
      <c r="D712" s="116">
        <v>0</v>
      </c>
      <c r="E712" s="136" t="s">
        <v>572</v>
      </c>
      <c r="F712" s="137" t="str">
        <f t="shared" si="33"/>
        <v/>
      </c>
      <c r="G712" s="138" t="e">
        <f>IF(A712&lt;&gt;"",IF(AND(#REF!="Padrão",$H$4=#REF!),BDI!$B$17,IF(AND(#REF!="Padrão",$H$4=#REF!),BDI!#REF!,IF(AND(#REF!="Diferenciado",$H$4=#REF!),BDI!$E$17,IF(AND(#REF!="Diferenciado",$H$4=#REF!),BDI!#REF!,IF(#REF!="ZERO",0))))),"")</f>
        <v>#REF!</v>
      </c>
      <c r="H712" s="139" t="str">
        <f t="shared" si="34"/>
        <v/>
      </c>
      <c r="I712" s="137" t="str">
        <f t="shared" si="35"/>
        <v/>
      </c>
    </row>
    <row r="713" spans="1:9" hidden="1" x14ac:dyDescent="0.25">
      <c r="A713" s="114" t="s">
        <v>836</v>
      </c>
      <c r="B713" s="115" t="s">
        <v>2605</v>
      </c>
      <c r="C713" s="116" t="s">
        <v>2606</v>
      </c>
      <c r="D713" s="116">
        <v>0</v>
      </c>
      <c r="E713" s="136">
        <f ca="1">OFFSET(INDEX(Composições!A:J,MATCH(Orçamentária!A713,Composições!A:A,0),8),2,0)</f>
        <v>10369.976856400001</v>
      </c>
      <c r="F713" s="137">
        <f t="shared" ca="1" si="33"/>
        <v>0</v>
      </c>
      <c r="G713" s="138" t="e">
        <f>IF(A713&lt;&gt;"",IF(AND(#REF!="Padrão",$H$4=#REF!),BDI!$B$17,IF(AND(#REF!="Padrão",$H$4=#REF!),BDI!#REF!,IF(AND(#REF!="Diferenciado",$H$4=#REF!),BDI!$E$17,IF(AND(#REF!="Diferenciado",$H$4=#REF!),BDI!#REF!,IF(#REF!="ZERO",0))))),"")</f>
        <v>#REF!</v>
      </c>
      <c r="H713" s="139" t="e">
        <f t="shared" ca="1" si="34"/>
        <v>#REF!</v>
      </c>
      <c r="I713" s="137" t="e">
        <f t="shared" ca="1" si="35"/>
        <v>#REF!</v>
      </c>
    </row>
    <row r="714" spans="1:9" hidden="1" x14ac:dyDescent="0.25">
      <c r="A714" s="114" t="s">
        <v>839</v>
      </c>
      <c r="B714" s="115" t="s">
        <v>2607</v>
      </c>
      <c r="C714" s="116" t="s">
        <v>2606</v>
      </c>
      <c r="D714" s="116">
        <v>0</v>
      </c>
      <c r="E714" s="136">
        <f ca="1">OFFSET(INDEX(Composições!A:J,MATCH(Orçamentária!A714,Composições!A:A,0),8),2,0)</f>
        <v>2693.3857131999998</v>
      </c>
      <c r="F714" s="137">
        <f t="shared" ca="1" si="33"/>
        <v>0</v>
      </c>
      <c r="G714" s="138" t="e">
        <f>IF(A714&lt;&gt;"",IF(AND(#REF!="Padrão",$H$4=#REF!),BDI!$B$17,IF(AND(#REF!="Padrão",$H$4=#REF!),BDI!#REF!,IF(AND(#REF!="Diferenciado",$H$4=#REF!),BDI!$E$17,IF(AND(#REF!="Diferenciado",$H$4=#REF!),BDI!#REF!,IF(#REF!="ZERO",0))))),"")</f>
        <v>#REF!</v>
      </c>
      <c r="H714" s="139" t="e">
        <f t="shared" ca="1" si="34"/>
        <v>#REF!</v>
      </c>
      <c r="I714" s="137" t="e">
        <f t="shared" ca="1" si="35"/>
        <v>#REF!</v>
      </c>
    </row>
    <row r="715" spans="1:9" hidden="1" x14ac:dyDescent="0.25">
      <c r="A715" s="114" t="s">
        <v>841</v>
      </c>
      <c r="B715" s="115" t="s">
        <v>2608</v>
      </c>
      <c r="C715" s="116" t="s">
        <v>2606</v>
      </c>
      <c r="D715" s="116">
        <v>0</v>
      </c>
      <c r="E715" s="136">
        <f ca="1">OFFSET(INDEX(Composições!A:J,MATCH(Orçamentária!A715,Composições!A:A,0),8),2,0)</f>
        <v>1685.9435908000003</v>
      </c>
      <c r="F715" s="137">
        <f t="shared" ca="1" si="33"/>
        <v>0</v>
      </c>
      <c r="G715" s="138" t="e">
        <f>IF(A715&lt;&gt;"",IF(AND(#REF!="Padrão",$H$4=#REF!),BDI!$B$17,IF(AND(#REF!="Padrão",$H$4=#REF!),BDI!#REF!,IF(AND(#REF!="Diferenciado",$H$4=#REF!),BDI!$E$17,IF(AND(#REF!="Diferenciado",$H$4=#REF!),BDI!#REF!,IF(#REF!="ZERO",0))))),"")</f>
        <v>#REF!</v>
      </c>
      <c r="H715" s="139" t="e">
        <f t="shared" ca="1" si="34"/>
        <v>#REF!</v>
      </c>
      <c r="I715" s="137" t="e">
        <f t="shared" ca="1" si="35"/>
        <v>#REF!</v>
      </c>
    </row>
    <row r="716" spans="1:9" hidden="1" x14ac:dyDescent="0.25">
      <c r="A716" s="114" t="s">
        <v>842</v>
      </c>
      <c r="B716" s="115" t="s">
        <v>2609</v>
      </c>
      <c r="C716" s="116" t="s">
        <v>2606</v>
      </c>
      <c r="D716" s="116">
        <v>0</v>
      </c>
      <c r="E716" s="136">
        <f ca="1">OFFSET(INDEX(Composições!A:J,MATCH(Orçamentária!A716,Composições!A:A,0),8),2,0)</f>
        <v>1908.8377055999999</v>
      </c>
      <c r="F716" s="137">
        <f t="shared" ca="1" si="33"/>
        <v>0</v>
      </c>
      <c r="G716" s="138" t="e">
        <f>IF(A716&lt;&gt;"",IF(AND(#REF!="Padrão",$H$4=#REF!),BDI!$B$17,IF(AND(#REF!="Padrão",$H$4=#REF!),BDI!#REF!,IF(AND(#REF!="Diferenciado",$H$4=#REF!),BDI!$E$17,IF(AND(#REF!="Diferenciado",$H$4=#REF!),BDI!#REF!,IF(#REF!="ZERO",0))))),"")</f>
        <v>#REF!</v>
      </c>
      <c r="H716" s="139" t="e">
        <f t="shared" ca="1" si="34"/>
        <v>#REF!</v>
      </c>
      <c r="I716" s="137" t="e">
        <f t="shared" ca="1" si="35"/>
        <v>#REF!</v>
      </c>
    </row>
    <row r="717" spans="1:9" hidden="1" x14ac:dyDescent="0.25">
      <c r="A717" s="114" t="s">
        <v>844</v>
      </c>
      <c r="B717" s="115" t="s">
        <v>2610</v>
      </c>
      <c r="C717" s="116" t="s">
        <v>2606</v>
      </c>
      <c r="D717" s="116">
        <v>0</v>
      </c>
      <c r="E717" s="136">
        <f ca="1">OFFSET(INDEX(Composições!A:J,MATCH(Orçamentária!A717,Composições!A:A,0),8),2,0)</f>
        <v>1849.9229616</v>
      </c>
      <c r="F717" s="137">
        <f t="shared" ca="1" si="33"/>
        <v>0</v>
      </c>
      <c r="G717" s="138" t="e">
        <f>IF(A717&lt;&gt;"",IF(AND(#REF!="Padrão",$H$4=#REF!),BDI!$B$17,IF(AND(#REF!="Padrão",$H$4=#REF!),BDI!#REF!,IF(AND(#REF!="Diferenciado",$H$4=#REF!),BDI!$E$17,IF(AND(#REF!="Diferenciado",$H$4=#REF!),BDI!#REF!,IF(#REF!="ZERO",0))))),"")</f>
        <v>#REF!</v>
      </c>
      <c r="H717" s="139" t="e">
        <f t="shared" ca="1" si="34"/>
        <v>#REF!</v>
      </c>
      <c r="I717" s="137" t="e">
        <f t="shared" ca="1" si="35"/>
        <v>#REF!</v>
      </c>
    </row>
    <row r="718" spans="1:9" hidden="1" x14ac:dyDescent="0.25">
      <c r="A718" s="114" t="s">
        <v>846</v>
      </c>
      <c r="B718" s="115" t="s">
        <v>2611</v>
      </c>
      <c r="C718" s="116" t="s">
        <v>2606</v>
      </c>
      <c r="D718" s="116">
        <v>0</v>
      </c>
      <c r="E718" s="136">
        <f ca="1">OFFSET(INDEX(Composições!A:J,MATCH(Orçamentária!A718,Composições!A:A,0),8),2,0)</f>
        <v>2301.6026655999999</v>
      </c>
      <c r="F718" s="137">
        <f t="shared" ca="1" si="33"/>
        <v>0</v>
      </c>
      <c r="G718" s="138" t="e">
        <f>IF(A718&lt;&gt;"",IF(AND(#REF!="Padrão",$H$4=#REF!),BDI!$B$17,IF(AND(#REF!="Padrão",$H$4=#REF!),BDI!#REF!,IF(AND(#REF!="Diferenciado",$H$4=#REF!),BDI!$E$17,IF(AND(#REF!="Diferenciado",$H$4=#REF!),BDI!#REF!,IF(#REF!="ZERO",0))))),"")</f>
        <v>#REF!</v>
      </c>
      <c r="H718" s="139" t="e">
        <f t="shared" ca="1" si="34"/>
        <v>#REF!</v>
      </c>
      <c r="I718" s="137" t="e">
        <f t="shared" ca="1" si="35"/>
        <v>#REF!</v>
      </c>
    </row>
    <row r="719" spans="1:9" hidden="1" x14ac:dyDescent="0.25">
      <c r="A719" s="114" t="s">
        <v>847</v>
      </c>
      <c r="B719" s="115" t="s">
        <v>2612</v>
      </c>
      <c r="C719" s="116" t="s">
        <v>2606</v>
      </c>
      <c r="D719" s="116">
        <v>0</v>
      </c>
      <c r="E719" s="136">
        <f ca="1">OFFSET(INDEX(Composições!A:J,MATCH(Orçamentária!A719,Composições!A:A,0),8),2,0)</f>
        <v>2301.6026655999999</v>
      </c>
      <c r="F719" s="137">
        <f t="shared" ca="1" si="33"/>
        <v>0</v>
      </c>
      <c r="G719" s="138" t="e">
        <f>IF(A719&lt;&gt;"",IF(AND(#REF!="Padrão",$H$4=#REF!),BDI!$B$17,IF(AND(#REF!="Padrão",$H$4=#REF!),BDI!#REF!,IF(AND(#REF!="Diferenciado",$H$4=#REF!),BDI!$E$17,IF(AND(#REF!="Diferenciado",$H$4=#REF!),BDI!#REF!,IF(#REF!="ZERO",0))))),"")</f>
        <v>#REF!</v>
      </c>
      <c r="H719" s="139" t="e">
        <f t="shared" ca="1" si="34"/>
        <v>#REF!</v>
      </c>
      <c r="I719" s="137" t="e">
        <f t="shared" ca="1" si="35"/>
        <v>#REF!</v>
      </c>
    </row>
    <row r="720" spans="1:9" hidden="1" x14ac:dyDescent="0.25">
      <c r="A720" s="114" t="s">
        <v>848</v>
      </c>
      <c r="B720" s="115" t="s">
        <v>2613</v>
      </c>
      <c r="C720" s="116" t="s">
        <v>2606</v>
      </c>
      <c r="D720" s="116">
        <v>0</v>
      </c>
      <c r="E720" s="136">
        <f ca="1">OFFSET(INDEX(Composições!A:J,MATCH(Orçamentária!A720,Composições!A:A,0),8),2,0)</f>
        <v>2271.1633812</v>
      </c>
      <c r="F720" s="137">
        <f t="shared" ca="1" si="33"/>
        <v>0</v>
      </c>
      <c r="G720" s="138" t="e">
        <f>IF(A720&lt;&gt;"",IF(AND(#REF!="Padrão",$H$4=#REF!),BDI!$B$17,IF(AND(#REF!="Padrão",$H$4=#REF!),BDI!#REF!,IF(AND(#REF!="Diferenciado",$H$4=#REF!),BDI!$E$17,IF(AND(#REF!="Diferenciado",$H$4=#REF!),BDI!#REF!,IF(#REF!="ZERO",0))))),"")</f>
        <v>#REF!</v>
      </c>
      <c r="H720" s="139" t="e">
        <f t="shared" ca="1" si="34"/>
        <v>#REF!</v>
      </c>
      <c r="I720" s="137" t="e">
        <f t="shared" ca="1" si="35"/>
        <v>#REF!</v>
      </c>
    </row>
    <row r="721" spans="1:9" hidden="1" x14ac:dyDescent="0.25">
      <c r="A721" s="114" t="s">
        <v>849</v>
      </c>
      <c r="B721" s="115" t="s">
        <v>2614</v>
      </c>
      <c r="C721" s="116" t="s">
        <v>2606</v>
      </c>
      <c r="D721" s="116">
        <v>0</v>
      </c>
      <c r="E721" s="136">
        <f ca="1">OFFSET(INDEX(Composições!A:J,MATCH(Orçamentária!A721,Composições!A:A,0),8),2,0)</f>
        <v>2713.0239611999996</v>
      </c>
      <c r="F721" s="137">
        <f t="shared" ca="1" si="33"/>
        <v>0</v>
      </c>
      <c r="G721" s="138" t="e">
        <f>IF(A721&lt;&gt;"",IF(AND(#REF!="Padrão",$H$4=#REF!),BDI!$B$17,IF(AND(#REF!="Padrão",$H$4=#REF!),BDI!#REF!,IF(AND(#REF!="Diferenciado",$H$4=#REF!),BDI!$E$17,IF(AND(#REF!="Diferenciado",$H$4=#REF!),BDI!#REF!,IF(#REF!="ZERO",0))))),"")</f>
        <v>#REF!</v>
      </c>
      <c r="H721" s="139" t="e">
        <f t="shared" ca="1" si="34"/>
        <v>#REF!</v>
      </c>
      <c r="I721" s="137" t="e">
        <f t="shared" ca="1" si="35"/>
        <v>#REF!</v>
      </c>
    </row>
    <row r="722" spans="1:9" hidden="1" x14ac:dyDescent="0.25">
      <c r="A722" s="114" t="s">
        <v>850</v>
      </c>
      <c r="B722" s="115" t="s">
        <v>2615</v>
      </c>
      <c r="C722" s="116" t="s">
        <v>2606</v>
      </c>
      <c r="D722" s="116">
        <v>0</v>
      </c>
      <c r="E722" s="136">
        <f ca="1">OFFSET(INDEX(Composições!A:J,MATCH(Orçamentária!A722,Composições!A:A,0),8),2,0)</f>
        <v>2282.9463299999998</v>
      </c>
      <c r="F722" s="137">
        <f t="shared" ca="1" si="33"/>
        <v>0</v>
      </c>
      <c r="G722" s="138" t="e">
        <f>IF(A722&lt;&gt;"",IF(AND(#REF!="Padrão",$H$4=#REF!),BDI!$B$17,IF(AND(#REF!="Padrão",$H$4=#REF!),BDI!#REF!,IF(AND(#REF!="Diferenciado",$H$4=#REF!),BDI!$E$17,IF(AND(#REF!="Diferenciado",$H$4=#REF!),BDI!#REF!,IF(#REF!="ZERO",0))))),"")</f>
        <v>#REF!</v>
      </c>
      <c r="H722" s="139" t="e">
        <f t="shared" ca="1" si="34"/>
        <v>#REF!</v>
      </c>
      <c r="I722" s="137" t="e">
        <f t="shared" ca="1" si="35"/>
        <v>#REF!</v>
      </c>
    </row>
    <row r="723" spans="1:9" hidden="1" x14ac:dyDescent="0.25">
      <c r="A723" s="114" t="s">
        <v>2616</v>
      </c>
      <c r="B723" s="115" t="s">
        <v>2617</v>
      </c>
      <c r="C723" s="116" t="s">
        <v>20</v>
      </c>
      <c r="D723" s="116">
        <v>0</v>
      </c>
      <c r="E723" s="136" t="s">
        <v>572</v>
      </c>
      <c r="F723" s="137" t="str">
        <f t="shared" si="33"/>
        <v/>
      </c>
      <c r="G723" s="138" t="e">
        <f>IF(A723&lt;&gt;"",IF(AND(#REF!="Padrão",$H$4=#REF!),BDI!$B$17,IF(AND(#REF!="Padrão",$H$4=#REF!),BDI!#REF!,IF(AND(#REF!="Diferenciado",$H$4=#REF!),BDI!$E$17,IF(AND(#REF!="Diferenciado",$H$4=#REF!),BDI!#REF!,IF(#REF!="ZERO",0))))),"")</f>
        <v>#REF!</v>
      </c>
      <c r="H723" s="139" t="str">
        <f t="shared" si="34"/>
        <v/>
      </c>
      <c r="I723" s="137" t="str">
        <f t="shared" si="35"/>
        <v/>
      </c>
    </row>
    <row r="724" spans="1:9" hidden="1" x14ac:dyDescent="0.25">
      <c r="A724" s="114" t="s">
        <v>2618</v>
      </c>
      <c r="B724" s="115" t="s">
        <v>2619</v>
      </c>
      <c r="C724" s="116" t="s">
        <v>20</v>
      </c>
      <c r="D724" s="116">
        <v>0</v>
      </c>
      <c r="E724" s="136" t="s">
        <v>572</v>
      </c>
      <c r="F724" s="137" t="str">
        <f t="shared" si="33"/>
        <v/>
      </c>
      <c r="G724" s="138" t="e">
        <f>IF(A724&lt;&gt;"",IF(AND(#REF!="Padrão",$H$4=#REF!),BDI!$B$17,IF(AND(#REF!="Padrão",$H$4=#REF!),BDI!#REF!,IF(AND(#REF!="Diferenciado",$H$4=#REF!),BDI!$E$17,IF(AND(#REF!="Diferenciado",$H$4=#REF!),BDI!#REF!,IF(#REF!="ZERO",0))))),"")</f>
        <v>#REF!</v>
      </c>
      <c r="H724" s="139" t="str">
        <f t="shared" si="34"/>
        <v/>
      </c>
      <c r="I724" s="137" t="str">
        <f t="shared" si="35"/>
        <v/>
      </c>
    </row>
    <row r="725" spans="1:9" hidden="1" x14ac:dyDescent="0.25">
      <c r="A725" s="114" t="s">
        <v>2620</v>
      </c>
      <c r="B725" s="115" t="s">
        <v>2621</v>
      </c>
      <c r="C725" s="116" t="s">
        <v>20</v>
      </c>
      <c r="D725" s="116">
        <v>0</v>
      </c>
      <c r="E725" s="136" t="s">
        <v>572</v>
      </c>
      <c r="F725" s="137" t="str">
        <f t="shared" si="33"/>
        <v/>
      </c>
      <c r="G725" s="138" t="e">
        <f>IF(A725&lt;&gt;"",IF(AND(#REF!="Padrão",$H$4=#REF!),BDI!$B$17,IF(AND(#REF!="Padrão",$H$4=#REF!),BDI!#REF!,IF(AND(#REF!="Diferenciado",$H$4=#REF!),BDI!$E$17,IF(AND(#REF!="Diferenciado",$H$4=#REF!),BDI!#REF!,IF(#REF!="ZERO",0))))),"")</f>
        <v>#REF!</v>
      </c>
      <c r="H725" s="139" t="str">
        <f t="shared" si="34"/>
        <v/>
      </c>
      <c r="I725" s="137" t="str">
        <f t="shared" si="35"/>
        <v/>
      </c>
    </row>
    <row r="726" spans="1:9" hidden="1" x14ac:dyDescent="0.25">
      <c r="A726" s="114" t="s">
        <v>2622</v>
      </c>
      <c r="B726" s="115" t="s">
        <v>3490</v>
      </c>
      <c r="C726" s="116" t="s">
        <v>20</v>
      </c>
      <c r="D726" s="116">
        <v>0</v>
      </c>
      <c r="E726" s="136" t="s">
        <v>572</v>
      </c>
      <c r="F726" s="137" t="str">
        <f t="shared" si="33"/>
        <v/>
      </c>
      <c r="G726" s="138" t="e">
        <f>IF(A726&lt;&gt;"",IF(AND(#REF!="Padrão",$H$4=#REF!),BDI!$B$17,IF(AND(#REF!="Padrão",$H$4=#REF!),BDI!#REF!,IF(AND(#REF!="Diferenciado",$H$4=#REF!),BDI!$E$17,IF(AND(#REF!="Diferenciado",$H$4=#REF!),BDI!#REF!,IF(#REF!="ZERO",0))))),"")</f>
        <v>#REF!</v>
      </c>
      <c r="H726" s="139" t="str">
        <f t="shared" si="34"/>
        <v/>
      </c>
      <c r="I726" s="137" t="str">
        <f t="shared" si="35"/>
        <v/>
      </c>
    </row>
    <row r="727" spans="1:9" hidden="1" x14ac:dyDescent="0.25">
      <c r="A727" s="114" t="s">
        <v>2623</v>
      </c>
      <c r="B727" s="115" t="s">
        <v>2624</v>
      </c>
      <c r="C727" s="116" t="s">
        <v>20</v>
      </c>
      <c r="D727" s="116">
        <v>0</v>
      </c>
      <c r="E727" s="136" t="s">
        <v>572</v>
      </c>
      <c r="F727" s="137" t="str">
        <f t="shared" si="33"/>
        <v/>
      </c>
      <c r="G727" s="138" t="e">
        <f>IF(A727&lt;&gt;"",IF(AND(#REF!="Padrão",$H$4=#REF!),BDI!$B$17,IF(AND(#REF!="Padrão",$H$4=#REF!),BDI!#REF!,IF(AND(#REF!="Diferenciado",$H$4=#REF!),BDI!$E$17,IF(AND(#REF!="Diferenciado",$H$4=#REF!),BDI!#REF!,IF(#REF!="ZERO",0))))),"")</f>
        <v>#REF!</v>
      </c>
      <c r="H727" s="139" t="str">
        <f t="shared" si="34"/>
        <v/>
      </c>
      <c r="I727" s="137" t="str">
        <f t="shared" si="35"/>
        <v/>
      </c>
    </row>
    <row r="728" spans="1:9" hidden="1" x14ac:dyDescent="0.25">
      <c r="A728" s="114" t="s">
        <v>2625</v>
      </c>
      <c r="B728" s="115" t="s">
        <v>2626</v>
      </c>
      <c r="C728" s="116" t="s">
        <v>20</v>
      </c>
      <c r="D728" s="116">
        <v>0</v>
      </c>
      <c r="E728" s="136" t="s">
        <v>572</v>
      </c>
      <c r="F728" s="137" t="str">
        <f t="shared" si="33"/>
        <v/>
      </c>
      <c r="G728" s="138" t="e">
        <f>IF(A728&lt;&gt;"",IF(AND(#REF!="Padrão",$H$4=#REF!),BDI!$B$17,IF(AND(#REF!="Padrão",$H$4=#REF!),BDI!#REF!,IF(AND(#REF!="Diferenciado",$H$4=#REF!),BDI!$E$17,IF(AND(#REF!="Diferenciado",$H$4=#REF!),BDI!#REF!,IF(#REF!="ZERO",0))))),"")</f>
        <v>#REF!</v>
      </c>
      <c r="H728" s="139" t="str">
        <f t="shared" si="34"/>
        <v/>
      </c>
      <c r="I728" s="137" t="str">
        <f t="shared" si="35"/>
        <v/>
      </c>
    </row>
    <row r="729" spans="1:9" hidden="1" x14ac:dyDescent="0.25">
      <c r="A729" s="114" t="s">
        <v>2627</v>
      </c>
      <c r="B729" s="115" t="s">
        <v>2628</v>
      </c>
      <c r="C729" s="116" t="s">
        <v>20</v>
      </c>
      <c r="D729" s="116">
        <v>0</v>
      </c>
      <c r="E729" s="136" t="s">
        <v>572</v>
      </c>
      <c r="F729" s="137" t="str">
        <f t="shared" si="33"/>
        <v/>
      </c>
      <c r="G729" s="138" t="e">
        <f>IF(A729&lt;&gt;"",IF(AND(#REF!="Padrão",$H$4=#REF!),BDI!$B$17,IF(AND(#REF!="Padrão",$H$4=#REF!),BDI!#REF!,IF(AND(#REF!="Diferenciado",$H$4=#REF!),BDI!$E$17,IF(AND(#REF!="Diferenciado",$H$4=#REF!),BDI!#REF!,IF(#REF!="ZERO",0))))),"")</f>
        <v>#REF!</v>
      </c>
      <c r="H729" s="139" t="str">
        <f t="shared" si="34"/>
        <v/>
      </c>
      <c r="I729" s="137" t="str">
        <f t="shared" si="35"/>
        <v/>
      </c>
    </row>
    <row r="730" spans="1:9" hidden="1" x14ac:dyDescent="0.25">
      <c r="A730" s="114" t="s">
        <v>2629</v>
      </c>
      <c r="B730" s="115" t="s">
        <v>2630</v>
      </c>
      <c r="C730" s="116" t="s">
        <v>20</v>
      </c>
      <c r="D730" s="116">
        <v>0</v>
      </c>
      <c r="E730" s="136" t="s">
        <v>572</v>
      </c>
      <c r="F730" s="137" t="str">
        <f t="shared" si="33"/>
        <v/>
      </c>
      <c r="G730" s="138" t="e">
        <f>IF(A730&lt;&gt;"",IF(AND(#REF!="Padrão",$H$4=#REF!),BDI!$B$17,IF(AND(#REF!="Padrão",$H$4=#REF!),BDI!#REF!,IF(AND(#REF!="Diferenciado",$H$4=#REF!),BDI!$E$17,IF(AND(#REF!="Diferenciado",$H$4=#REF!),BDI!#REF!,IF(#REF!="ZERO",0))))),"")</f>
        <v>#REF!</v>
      </c>
      <c r="H730" s="139" t="str">
        <f t="shared" si="34"/>
        <v/>
      </c>
      <c r="I730" s="137" t="str">
        <f t="shared" si="35"/>
        <v/>
      </c>
    </row>
    <row r="731" spans="1:9" hidden="1" x14ac:dyDescent="0.25">
      <c r="A731" s="114" t="s">
        <v>2631</v>
      </c>
      <c r="B731" s="115" t="s">
        <v>2632</v>
      </c>
      <c r="C731" s="116" t="s">
        <v>20</v>
      </c>
      <c r="D731" s="116">
        <v>0</v>
      </c>
      <c r="E731" s="136" t="s">
        <v>572</v>
      </c>
      <c r="F731" s="137" t="str">
        <f t="shared" si="33"/>
        <v/>
      </c>
      <c r="G731" s="138" t="e">
        <f>IF(A731&lt;&gt;"",IF(AND(#REF!="Padrão",$H$4=#REF!),BDI!$B$17,IF(AND(#REF!="Padrão",$H$4=#REF!),BDI!#REF!,IF(AND(#REF!="Diferenciado",$H$4=#REF!),BDI!$E$17,IF(AND(#REF!="Diferenciado",$H$4=#REF!),BDI!#REF!,IF(#REF!="ZERO",0))))),"")</f>
        <v>#REF!</v>
      </c>
      <c r="H731" s="139" t="str">
        <f t="shared" si="34"/>
        <v/>
      </c>
      <c r="I731" s="137" t="str">
        <f t="shared" si="35"/>
        <v/>
      </c>
    </row>
    <row r="732" spans="1:9" hidden="1" x14ac:dyDescent="0.25">
      <c r="A732" s="114" t="s">
        <v>2633</v>
      </c>
      <c r="B732" s="115" t="s">
        <v>2634</v>
      </c>
      <c r="C732" s="116" t="s">
        <v>20</v>
      </c>
      <c r="D732" s="116">
        <v>0</v>
      </c>
      <c r="E732" s="136" t="s">
        <v>572</v>
      </c>
      <c r="F732" s="137" t="str">
        <f t="shared" si="33"/>
        <v/>
      </c>
      <c r="G732" s="138" t="e">
        <f>IF(A732&lt;&gt;"",IF(AND(#REF!="Padrão",$H$4=#REF!),BDI!$B$17,IF(AND(#REF!="Padrão",$H$4=#REF!),BDI!#REF!,IF(AND(#REF!="Diferenciado",$H$4=#REF!),BDI!$E$17,IF(AND(#REF!="Diferenciado",$H$4=#REF!),BDI!#REF!,IF(#REF!="ZERO",0))))),"")</f>
        <v>#REF!</v>
      </c>
      <c r="H732" s="139" t="str">
        <f t="shared" si="34"/>
        <v/>
      </c>
      <c r="I732" s="137" t="str">
        <f t="shared" si="35"/>
        <v/>
      </c>
    </row>
    <row r="733" spans="1:9" hidden="1" x14ac:dyDescent="0.25">
      <c r="A733" s="114" t="s">
        <v>2635</v>
      </c>
      <c r="B733" s="115" t="s">
        <v>2636</v>
      </c>
      <c r="C733" s="116" t="s">
        <v>20</v>
      </c>
      <c r="D733" s="116">
        <v>0</v>
      </c>
      <c r="E733" s="136" t="s">
        <v>572</v>
      </c>
      <c r="F733" s="137" t="str">
        <f t="shared" si="33"/>
        <v/>
      </c>
      <c r="G733" s="138" t="e">
        <f>IF(A733&lt;&gt;"",IF(AND(#REF!="Padrão",$H$4=#REF!),BDI!$B$17,IF(AND(#REF!="Padrão",$H$4=#REF!),BDI!#REF!,IF(AND(#REF!="Diferenciado",$H$4=#REF!),BDI!$E$17,IF(AND(#REF!="Diferenciado",$H$4=#REF!),BDI!#REF!,IF(#REF!="ZERO",0))))),"")</f>
        <v>#REF!</v>
      </c>
      <c r="H733" s="139" t="str">
        <f t="shared" si="34"/>
        <v/>
      </c>
      <c r="I733" s="137" t="str">
        <f t="shared" si="35"/>
        <v/>
      </c>
    </row>
    <row r="734" spans="1:9" hidden="1" x14ac:dyDescent="0.25">
      <c r="A734" s="114" t="s">
        <v>2637</v>
      </c>
      <c r="B734" s="115" t="s">
        <v>2638</v>
      </c>
      <c r="C734" s="116" t="s">
        <v>20</v>
      </c>
      <c r="D734" s="116">
        <v>0</v>
      </c>
      <c r="E734" s="136" t="s">
        <v>572</v>
      </c>
      <c r="F734" s="137" t="str">
        <f t="shared" si="33"/>
        <v/>
      </c>
      <c r="G734" s="138" t="e">
        <f>IF(A734&lt;&gt;"",IF(AND(#REF!="Padrão",$H$4=#REF!),BDI!$B$17,IF(AND(#REF!="Padrão",$H$4=#REF!),BDI!#REF!,IF(AND(#REF!="Diferenciado",$H$4=#REF!),BDI!$E$17,IF(AND(#REF!="Diferenciado",$H$4=#REF!),BDI!#REF!,IF(#REF!="ZERO",0))))),"")</f>
        <v>#REF!</v>
      </c>
      <c r="H734" s="139" t="str">
        <f t="shared" si="34"/>
        <v/>
      </c>
      <c r="I734" s="137" t="str">
        <f t="shared" si="35"/>
        <v/>
      </c>
    </row>
    <row r="735" spans="1:9" hidden="1" x14ac:dyDescent="0.25">
      <c r="A735" s="114" t="s">
        <v>2639</v>
      </c>
      <c r="B735" s="115" t="s">
        <v>2640</v>
      </c>
      <c r="C735" s="116" t="s">
        <v>20</v>
      </c>
      <c r="D735" s="116">
        <v>0</v>
      </c>
      <c r="E735" s="136" t="s">
        <v>572</v>
      </c>
      <c r="F735" s="137" t="str">
        <f t="shared" si="33"/>
        <v/>
      </c>
      <c r="G735" s="138" t="e">
        <f>IF(A735&lt;&gt;"",IF(AND(#REF!="Padrão",$H$4=#REF!),BDI!$B$17,IF(AND(#REF!="Padrão",$H$4=#REF!),BDI!#REF!,IF(AND(#REF!="Diferenciado",$H$4=#REF!),BDI!$E$17,IF(AND(#REF!="Diferenciado",$H$4=#REF!),BDI!#REF!,IF(#REF!="ZERO",0))))),"")</f>
        <v>#REF!</v>
      </c>
      <c r="H735" s="139" t="str">
        <f t="shared" si="34"/>
        <v/>
      </c>
      <c r="I735" s="137" t="str">
        <f t="shared" si="35"/>
        <v/>
      </c>
    </row>
    <row r="736" spans="1:9" hidden="1" x14ac:dyDescent="0.25">
      <c r="A736" s="114" t="s">
        <v>2641</v>
      </c>
      <c r="B736" s="115" t="s">
        <v>2642</v>
      </c>
      <c r="C736" s="116" t="s">
        <v>20</v>
      </c>
      <c r="D736" s="116">
        <v>0</v>
      </c>
      <c r="E736" s="136" t="s">
        <v>572</v>
      </c>
      <c r="F736" s="137" t="str">
        <f t="shared" si="33"/>
        <v/>
      </c>
      <c r="G736" s="138" t="e">
        <f>IF(A736&lt;&gt;"",IF(AND(#REF!="Padrão",$H$4=#REF!),BDI!$B$17,IF(AND(#REF!="Padrão",$H$4=#REF!),BDI!#REF!,IF(AND(#REF!="Diferenciado",$H$4=#REF!),BDI!$E$17,IF(AND(#REF!="Diferenciado",$H$4=#REF!),BDI!#REF!,IF(#REF!="ZERO",0))))),"")</f>
        <v>#REF!</v>
      </c>
      <c r="H736" s="139" t="str">
        <f t="shared" si="34"/>
        <v/>
      </c>
      <c r="I736" s="137" t="str">
        <f t="shared" si="35"/>
        <v/>
      </c>
    </row>
    <row r="737" spans="1:9" hidden="1" x14ac:dyDescent="0.25">
      <c r="A737" s="114" t="s">
        <v>2643</v>
      </c>
      <c r="B737" s="115" t="s">
        <v>2644</v>
      </c>
      <c r="C737" s="116" t="s">
        <v>20</v>
      </c>
      <c r="D737" s="116">
        <v>0</v>
      </c>
      <c r="E737" s="136" t="s">
        <v>572</v>
      </c>
      <c r="F737" s="137" t="str">
        <f t="shared" si="33"/>
        <v/>
      </c>
      <c r="G737" s="138" t="e">
        <f>IF(A737&lt;&gt;"",IF(AND(#REF!="Padrão",$H$4=#REF!),BDI!$B$17,IF(AND(#REF!="Padrão",$H$4=#REF!),BDI!#REF!,IF(AND(#REF!="Diferenciado",$H$4=#REF!),BDI!$E$17,IF(AND(#REF!="Diferenciado",$H$4=#REF!),BDI!#REF!,IF(#REF!="ZERO",0))))),"")</f>
        <v>#REF!</v>
      </c>
      <c r="H737" s="139" t="str">
        <f t="shared" si="34"/>
        <v/>
      </c>
      <c r="I737" s="137" t="str">
        <f t="shared" si="35"/>
        <v/>
      </c>
    </row>
    <row r="738" spans="1:9" hidden="1" x14ac:dyDescent="0.25">
      <c r="A738" s="114" t="s">
        <v>2645</v>
      </c>
      <c r="B738" s="115" t="s">
        <v>2646</v>
      </c>
      <c r="C738" s="116" t="s">
        <v>20</v>
      </c>
      <c r="D738" s="116">
        <v>0</v>
      </c>
      <c r="E738" s="136" t="s">
        <v>572</v>
      </c>
      <c r="F738" s="137" t="str">
        <f t="shared" si="33"/>
        <v/>
      </c>
      <c r="G738" s="138" t="e">
        <f>IF(A738&lt;&gt;"",IF(AND(#REF!="Padrão",$H$4=#REF!),BDI!$B$17,IF(AND(#REF!="Padrão",$H$4=#REF!),BDI!#REF!,IF(AND(#REF!="Diferenciado",$H$4=#REF!),BDI!$E$17,IF(AND(#REF!="Diferenciado",$H$4=#REF!),BDI!#REF!,IF(#REF!="ZERO",0))))),"")</f>
        <v>#REF!</v>
      </c>
      <c r="H738" s="139" t="str">
        <f t="shared" si="34"/>
        <v/>
      </c>
      <c r="I738" s="137" t="str">
        <f t="shared" si="35"/>
        <v/>
      </c>
    </row>
    <row r="739" spans="1:9" hidden="1" x14ac:dyDescent="0.25">
      <c r="A739" s="114" t="s">
        <v>2647</v>
      </c>
      <c r="B739" s="115" t="s">
        <v>2648</v>
      </c>
      <c r="C739" s="116" t="s">
        <v>20</v>
      </c>
      <c r="D739" s="116">
        <v>0</v>
      </c>
      <c r="E739" s="136" t="s">
        <v>572</v>
      </c>
      <c r="F739" s="137" t="str">
        <f t="shared" si="33"/>
        <v/>
      </c>
      <c r="G739" s="138" t="e">
        <f>IF(A739&lt;&gt;"",IF(AND(#REF!="Padrão",$H$4=#REF!),BDI!$B$17,IF(AND(#REF!="Padrão",$H$4=#REF!),BDI!#REF!,IF(AND(#REF!="Diferenciado",$H$4=#REF!),BDI!$E$17,IF(AND(#REF!="Diferenciado",$H$4=#REF!),BDI!#REF!,IF(#REF!="ZERO",0))))),"")</f>
        <v>#REF!</v>
      </c>
      <c r="H739" s="139" t="str">
        <f t="shared" si="34"/>
        <v/>
      </c>
      <c r="I739" s="137" t="str">
        <f t="shared" si="35"/>
        <v/>
      </c>
    </row>
    <row r="740" spans="1:9" hidden="1" x14ac:dyDescent="0.25">
      <c r="A740" s="114" t="s">
        <v>2649</v>
      </c>
      <c r="B740" s="115" t="s">
        <v>2650</v>
      </c>
      <c r="C740" s="116" t="s">
        <v>20</v>
      </c>
      <c r="D740" s="116">
        <v>0</v>
      </c>
      <c r="E740" s="136" t="s">
        <v>572</v>
      </c>
      <c r="F740" s="137" t="str">
        <f t="shared" si="33"/>
        <v/>
      </c>
      <c r="G740" s="138" t="e">
        <f>IF(A740&lt;&gt;"",IF(AND(#REF!="Padrão",$H$4=#REF!),BDI!$B$17,IF(AND(#REF!="Padrão",$H$4=#REF!),BDI!#REF!,IF(AND(#REF!="Diferenciado",$H$4=#REF!),BDI!$E$17,IF(AND(#REF!="Diferenciado",$H$4=#REF!),BDI!#REF!,IF(#REF!="ZERO",0))))),"")</f>
        <v>#REF!</v>
      </c>
      <c r="H740" s="139" t="str">
        <f t="shared" si="34"/>
        <v/>
      </c>
      <c r="I740" s="137" t="str">
        <f t="shared" si="35"/>
        <v/>
      </c>
    </row>
    <row r="741" spans="1:9" hidden="1" x14ac:dyDescent="0.25">
      <c r="A741" s="114" t="s">
        <v>2651</v>
      </c>
      <c r="B741" s="115" t="s">
        <v>2652</v>
      </c>
      <c r="C741" s="116" t="s">
        <v>20</v>
      </c>
      <c r="D741" s="116">
        <v>0</v>
      </c>
      <c r="E741" s="136" t="s">
        <v>572</v>
      </c>
      <c r="F741" s="137" t="str">
        <f t="shared" si="33"/>
        <v/>
      </c>
      <c r="G741" s="138" t="e">
        <f>IF(A741&lt;&gt;"",IF(AND(#REF!="Padrão",$H$4=#REF!),BDI!$B$17,IF(AND(#REF!="Padrão",$H$4=#REF!),BDI!#REF!,IF(AND(#REF!="Diferenciado",$H$4=#REF!),BDI!$E$17,IF(AND(#REF!="Diferenciado",$H$4=#REF!),BDI!#REF!,IF(#REF!="ZERO",0))))),"")</f>
        <v>#REF!</v>
      </c>
      <c r="H741" s="139" t="str">
        <f t="shared" si="34"/>
        <v/>
      </c>
      <c r="I741" s="137" t="str">
        <f t="shared" si="35"/>
        <v/>
      </c>
    </row>
    <row r="742" spans="1:9" hidden="1" x14ac:dyDescent="0.25">
      <c r="A742" s="114" t="s">
        <v>2653</v>
      </c>
      <c r="B742" s="115" t="s">
        <v>2654</v>
      </c>
      <c r="C742" s="116" t="s">
        <v>20</v>
      </c>
      <c r="D742" s="116">
        <v>0</v>
      </c>
      <c r="E742" s="136" t="s">
        <v>572</v>
      </c>
      <c r="F742" s="137" t="str">
        <f t="shared" si="33"/>
        <v/>
      </c>
      <c r="G742" s="138" t="e">
        <f>IF(A742&lt;&gt;"",IF(AND(#REF!="Padrão",$H$4=#REF!),BDI!$B$17,IF(AND(#REF!="Padrão",$H$4=#REF!),BDI!#REF!,IF(AND(#REF!="Diferenciado",$H$4=#REF!),BDI!$E$17,IF(AND(#REF!="Diferenciado",$H$4=#REF!),BDI!#REF!,IF(#REF!="ZERO",0))))),"")</f>
        <v>#REF!</v>
      </c>
      <c r="H742" s="139" t="str">
        <f t="shared" si="34"/>
        <v/>
      </c>
      <c r="I742" s="137" t="str">
        <f t="shared" si="35"/>
        <v/>
      </c>
    </row>
    <row r="743" spans="1:9" hidden="1" x14ac:dyDescent="0.25">
      <c r="A743" s="114" t="s">
        <v>2655</v>
      </c>
      <c r="B743" s="115" t="s">
        <v>2656</v>
      </c>
      <c r="C743" s="116" t="s">
        <v>20</v>
      </c>
      <c r="D743" s="116">
        <v>0</v>
      </c>
      <c r="E743" s="136" t="s">
        <v>572</v>
      </c>
      <c r="F743" s="137" t="str">
        <f t="shared" si="33"/>
        <v/>
      </c>
      <c r="G743" s="138" t="e">
        <f>IF(A743&lt;&gt;"",IF(AND(#REF!="Padrão",$H$4=#REF!),BDI!$B$17,IF(AND(#REF!="Padrão",$H$4=#REF!),BDI!#REF!,IF(AND(#REF!="Diferenciado",$H$4=#REF!),BDI!$E$17,IF(AND(#REF!="Diferenciado",$H$4=#REF!),BDI!#REF!,IF(#REF!="ZERO",0))))),"")</f>
        <v>#REF!</v>
      </c>
      <c r="H743" s="139" t="str">
        <f t="shared" si="34"/>
        <v/>
      </c>
      <c r="I743" s="137" t="str">
        <f t="shared" si="35"/>
        <v/>
      </c>
    </row>
    <row r="744" spans="1:9" hidden="1" x14ac:dyDescent="0.25">
      <c r="A744" s="114" t="s">
        <v>2657</v>
      </c>
      <c r="B744" s="115" t="s">
        <v>2658</v>
      </c>
      <c r="C744" s="116" t="s">
        <v>20</v>
      </c>
      <c r="D744" s="116">
        <v>0</v>
      </c>
      <c r="E744" s="136" t="s">
        <v>572</v>
      </c>
      <c r="F744" s="137" t="str">
        <f t="shared" si="33"/>
        <v/>
      </c>
      <c r="G744" s="138" t="e">
        <f>IF(A744&lt;&gt;"",IF(AND(#REF!="Padrão",$H$4=#REF!),BDI!$B$17,IF(AND(#REF!="Padrão",$H$4=#REF!),BDI!#REF!,IF(AND(#REF!="Diferenciado",$H$4=#REF!),BDI!$E$17,IF(AND(#REF!="Diferenciado",$H$4=#REF!),BDI!#REF!,IF(#REF!="ZERO",0))))),"")</f>
        <v>#REF!</v>
      </c>
      <c r="H744" s="139" t="str">
        <f t="shared" si="34"/>
        <v/>
      </c>
      <c r="I744" s="137" t="str">
        <f t="shared" si="35"/>
        <v/>
      </c>
    </row>
    <row r="745" spans="1:9" hidden="1" x14ac:dyDescent="0.25">
      <c r="A745" s="114" t="s">
        <v>2659</v>
      </c>
      <c r="B745" s="115" t="s">
        <v>2660</v>
      </c>
      <c r="C745" s="116" t="s">
        <v>20</v>
      </c>
      <c r="D745" s="116">
        <v>0</v>
      </c>
      <c r="E745" s="136" t="s">
        <v>572</v>
      </c>
      <c r="F745" s="137" t="str">
        <f t="shared" si="33"/>
        <v/>
      </c>
      <c r="G745" s="138" t="e">
        <f>IF(A745&lt;&gt;"",IF(AND(#REF!="Padrão",$H$4=#REF!),BDI!$B$17,IF(AND(#REF!="Padrão",$H$4=#REF!),BDI!#REF!,IF(AND(#REF!="Diferenciado",$H$4=#REF!),BDI!$E$17,IF(AND(#REF!="Diferenciado",$H$4=#REF!),BDI!#REF!,IF(#REF!="ZERO",0))))),"")</f>
        <v>#REF!</v>
      </c>
      <c r="H745" s="139" t="str">
        <f t="shared" si="34"/>
        <v/>
      </c>
      <c r="I745" s="137" t="str">
        <f t="shared" si="35"/>
        <v/>
      </c>
    </row>
    <row r="746" spans="1:9" hidden="1" x14ac:dyDescent="0.25">
      <c r="A746" s="114" t="s">
        <v>2661</v>
      </c>
      <c r="B746" s="115" t="s">
        <v>2662</v>
      </c>
      <c r="C746" s="116" t="s">
        <v>20</v>
      </c>
      <c r="D746" s="116">
        <v>0</v>
      </c>
      <c r="E746" s="136" t="s">
        <v>572</v>
      </c>
      <c r="F746" s="137" t="str">
        <f t="shared" si="33"/>
        <v/>
      </c>
      <c r="G746" s="138" t="e">
        <f>IF(A746&lt;&gt;"",IF(AND(#REF!="Padrão",$H$4=#REF!),BDI!$B$17,IF(AND(#REF!="Padrão",$H$4=#REF!),BDI!#REF!,IF(AND(#REF!="Diferenciado",$H$4=#REF!),BDI!$E$17,IF(AND(#REF!="Diferenciado",$H$4=#REF!),BDI!#REF!,IF(#REF!="ZERO",0))))),"")</f>
        <v>#REF!</v>
      </c>
      <c r="H746" s="139" t="str">
        <f t="shared" si="34"/>
        <v/>
      </c>
      <c r="I746" s="137" t="str">
        <f t="shared" si="35"/>
        <v/>
      </c>
    </row>
    <row r="747" spans="1:9" hidden="1" x14ac:dyDescent="0.25">
      <c r="A747" s="114" t="s">
        <v>2663</v>
      </c>
      <c r="B747" s="115" t="s">
        <v>2664</v>
      </c>
      <c r="C747" s="116" t="s">
        <v>20</v>
      </c>
      <c r="D747" s="116">
        <v>0</v>
      </c>
      <c r="E747" s="136" t="s">
        <v>572</v>
      </c>
      <c r="F747" s="137" t="str">
        <f t="shared" si="33"/>
        <v/>
      </c>
      <c r="G747" s="138" t="e">
        <f>IF(A747&lt;&gt;"",IF(AND(#REF!="Padrão",$H$4=#REF!),BDI!$B$17,IF(AND(#REF!="Padrão",$H$4=#REF!),BDI!#REF!,IF(AND(#REF!="Diferenciado",$H$4=#REF!),BDI!$E$17,IF(AND(#REF!="Diferenciado",$H$4=#REF!),BDI!#REF!,IF(#REF!="ZERO",0))))),"")</f>
        <v>#REF!</v>
      </c>
      <c r="H747" s="139" t="str">
        <f t="shared" si="34"/>
        <v/>
      </c>
      <c r="I747" s="137" t="str">
        <f t="shared" si="35"/>
        <v/>
      </c>
    </row>
    <row r="748" spans="1:9" hidden="1" x14ac:dyDescent="0.25">
      <c r="A748" s="114" t="s">
        <v>2665</v>
      </c>
      <c r="B748" s="115" t="s">
        <v>2666</v>
      </c>
      <c r="C748" s="116" t="s">
        <v>20</v>
      </c>
      <c r="D748" s="116">
        <v>0</v>
      </c>
      <c r="E748" s="136" t="s">
        <v>572</v>
      </c>
      <c r="F748" s="137" t="str">
        <f t="shared" si="33"/>
        <v/>
      </c>
      <c r="G748" s="138" t="e">
        <f>IF(A748&lt;&gt;"",IF(AND(#REF!="Padrão",$H$4=#REF!),BDI!$B$17,IF(AND(#REF!="Padrão",$H$4=#REF!),BDI!#REF!,IF(AND(#REF!="Diferenciado",$H$4=#REF!),BDI!$E$17,IF(AND(#REF!="Diferenciado",$H$4=#REF!),BDI!#REF!,IF(#REF!="ZERO",0))))),"")</f>
        <v>#REF!</v>
      </c>
      <c r="H748" s="139" t="str">
        <f t="shared" si="34"/>
        <v/>
      </c>
      <c r="I748" s="137" t="str">
        <f t="shared" si="35"/>
        <v/>
      </c>
    </row>
    <row r="749" spans="1:9" hidden="1" x14ac:dyDescent="0.25">
      <c r="A749" s="114" t="s">
        <v>2667</v>
      </c>
      <c r="B749" s="115" t="s">
        <v>2668</v>
      </c>
      <c r="C749" s="116" t="s">
        <v>20</v>
      </c>
      <c r="D749" s="116">
        <v>0</v>
      </c>
      <c r="E749" s="136" t="s">
        <v>572</v>
      </c>
      <c r="F749" s="137" t="str">
        <f t="shared" si="33"/>
        <v/>
      </c>
      <c r="G749" s="138" t="e">
        <f>IF(A749&lt;&gt;"",IF(AND(#REF!="Padrão",$H$4=#REF!),BDI!$B$17,IF(AND(#REF!="Padrão",$H$4=#REF!),BDI!#REF!,IF(AND(#REF!="Diferenciado",$H$4=#REF!),BDI!$E$17,IF(AND(#REF!="Diferenciado",$H$4=#REF!),BDI!#REF!,IF(#REF!="ZERO",0))))),"")</f>
        <v>#REF!</v>
      </c>
      <c r="H749" s="139" t="str">
        <f t="shared" si="34"/>
        <v/>
      </c>
      <c r="I749" s="137" t="str">
        <f t="shared" si="35"/>
        <v/>
      </c>
    </row>
    <row r="750" spans="1:9" hidden="1" x14ac:dyDescent="0.25">
      <c r="A750" s="114" t="s">
        <v>2669</v>
      </c>
      <c r="B750" s="115" t="s">
        <v>2670</v>
      </c>
      <c r="C750" s="116" t="s">
        <v>20</v>
      </c>
      <c r="D750" s="116">
        <v>0</v>
      </c>
      <c r="E750" s="136" t="s">
        <v>572</v>
      </c>
      <c r="F750" s="137" t="str">
        <f t="shared" si="33"/>
        <v/>
      </c>
      <c r="G750" s="138" t="e">
        <f>IF(A750&lt;&gt;"",IF(AND(#REF!="Padrão",$H$4=#REF!),BDI!$B$17,IF(AND(#REF!="Padrão",$H$4=#REF!),BDI!#REF!,IF(AND(#REF!="Diferenciado",$H$4=#REF!),BDI!$E$17,IF(AND(#REF!="Diferenciado",$H$4=#REF!),BDI!#REF!,IF(#REF!="ZERO",0))))),"")</f>
        <v>#REF!</v>
      </c>
      <c r="H750" s="139" t="str">
        <f t="shared" si="34"/>
        <v/>
      </c>
      <c r="I750" s="137" t="str">
        <f t="shared" si="35"/>
        <v/>
      </c>
    </row>
    <row r="751" spans="1:9" hidden="1" x14ac:dyDescent="0.25">
      <c r="A751" s="114" t="s">
        <v>2671</v>
      </c>
      <c r="B751" s="115" t="s">
        <v>2672</v>
      </c>
      <c r="C751" s="116" t="s">
        <v>20</v>
      </c>
      <c r="D751" s="116">
        <v>0</v>
      </c>
      <c r="E751" s="136" t="s">
        <v>572</v>
      </c>
      <c r="F751" s="137" t="str">
        <f t="shared" si="33"/>
        <v/>
      </c>
      <c r="G751" s="138" t="e">
        <f>IF(A751&lt;&gt;"",IF(AND(#REF!="Padrão",$H$4=#REF!),BDI!$B$17,IF(AND(#REF!="Padrão",$H$4=#REF!),BDI!#REF!,IF(AND(#REF!="Diferenciado",$H$4=#REF!),BDI!$E$17,IF(AND(#REF!="Diferenciado",$H$4=#REF!),BDI!#REF!,IF(#REF!="ZERO",0))))),"")</f>
        <v>#REF!</v>
      </c>
      <c r="H751" s="139" t="str">
        <f t="shared" si="34"/>
        <v/>
      </c>
      <c r="I751" s="137" t="str">
        <f t="shared" si="35"/>
        <v/>
      </c>
    </row>
    <row r="752" spans="1:9" hidden="1" x14ac:dyDescent="0.25">
      <c r="A752" s="114" t="s">
        <v>2673</v>
      </c>
      <c r="B752" s="115" t="s">
        <v>2674</v>
      </c>
      <c r="C752" s="116" t="s">
        <v>20</v>
      </c>
      <c r="D752" s="116">
        <v>0</v>
      </c>
      <c r="E752" s="136" t="s">
        <v>572</v>
      </c>
      <c r="F752" s="137" t="str">
        <f t="shared" si="33"/>
        <v/>
      </c>
      <c r="G752" s="138" t="e">
        <f>IF(A752&lt;&gt;"",IF(AND(#REF!="Padrão",$H$4=#REF!),BDI!$B$17,IF(AND(#REF!="Padrão",$H$4=#REF!),BDI!#REF!,IF(AND(#REF!="Diferenciado",$H$4=#REF!),BDI!$E$17,IF(AND(#REF!="Diferenciado",$H$4=#REF!),BDI!#REF!,IF(#REF!="ZERO",0))))),"")</f>
        <v>#REF!</v>
      </c>
      <c r="H752" s="139" t="str">
        <f t="shared" si="34"/>
        <v/>
      </c>
      <c r="I752" s="137" t="str">
        <f t="shared" si="35"/>
        <v/>
      </c>
    </row>
    <row r="753" spans="1:9" hidden="1" x14ac:dyDescent="0.25">
      <c r="A753" s="114" t="s">
        <v>2675</v>
      </c>
      <c r="B753" s="115" t="s">
        <v>2676</v>
      </c>
      <c r="C753" s="116" t="s">
        <v>20</v>
      </c>
      <c r="D753" s="116">
        <v>0</v>
      </c>
      <c r="E753" s="136" t="s">
        <v>572</v>
      </c>
      <c r="F753" s="137" t="str">
        <f t="shared" si="33"/>
        <v/>
      </c>
      <c r="G753" s="138" t="e">
        <f>IF(A753&lt;&gt;"",IF(AND(#REF!="Padrão",$H$4=#REF!),BDI!$B$17,IF(AND(#REF!="Padrão",$H$4=#REF!),BDI!#REF!,IF(AND(#REF!="Diferenciado",$H$4=#REF!),BDI!$E$17,IF(AND(#REF!="Diferenciado",$H$4=#REF!),BDI!#REF!,IF(#REF!="ZERO",0))))),"")</f>
        <v>#REF!</v>
      </c>
      <c r="H753" s="139" t="str">
        <f t="shared" si="34"/>
        <v/>
      </c>
      <c r="I753" s="137" t="str">
        <f t="shared" si="35"/>
        <v/>
      </c>
    </row>
    <row r="754" spans="1:9" hidden="1" x14ac:dyDescent="0.25">
      <c r="A754" s="114" t="s">
        <v>2677</v>
      </c>
      <c r="B754" s="115" t="s">
        <v>2678</v>
      </c>
      <c r="C754" s="116" t="s">
        <v>20</v>
      </c>
      <c r="D754" s="116">
        <v>0</v>
      </c>
      <c r="E754" s="136" t="s">
        <v>572</v>
      </c>
      <c r="F754" s="137" t="str">
        <f t="shared" si="33"/>
        <v/>
      </c>
      <c r="G754" s="138" t="e">
        <f>IF(A754&lt;&gt;"",IF(AND(#REF!="Padrão",$H$4=#REF!),BDI!$B$17,IF(AND(#REF!="Padrão",$H$4=#REF!),BDI!#REF!,IF(AND(#REF!="Diferenciado",$H$4=#REF!),BDI!$E$17,IF(AND(#REF!="Diferenciado",$H$4=#REF!),BDI!#REF!,IF(#REF!="ZERO",0))))),"")</f>
        <v>#REF!</v>
      </c>
      <c r="H754" s="139" t="str">
        <f t="shared" si="34"/>
        <v/>
      </c>
      <c r="I754" s="137" t="str">
        <f t="shared" si="35"/>
        <v/>
      </c>
    </row>
    <row r="755" spans="1:9" hidden="1" x14ac:dyDescent="0.25">
      <c r="A755" s="114" t="s">
        <v>2679</v>
      </c>
      <c r="B755" s="115" t="s">
        <v>2680</v>
      </c>
      <c r="C755" s="116" t="s">
        <v>20</v>
      </c>
      <c r="D755" s="116">
        <v>0</v>
      </c>
      <c r="E755" s="136" t="s">
        <v>572</v>
      </c>
      <c r="F755" s="137" t="str">
        <f t="shared" si="33"/>
        <v/>
      </c>
      <c r="G755" s="138" t="e">
        <f>IF(A755&lt;&gt;"",IF(AND(#REF!="Padrão",$H$4=#REF!),BDI!$B$17,IF(AND(#REF!="Padrão",$H$4=#REF!),BDI!#REF!,IF(AND(#REF!="Diferenciado",$H$4=#REF!),BDI!$E$17,IF(AND(#REF!="Diferenciado",$H$4=#REF!),BDI!#REF!,IF(#REF!="ZERO",0))))),"")</f>
        <v>#REF!</v>
      </c>
      <c r="H755" s="139" t="str">
        <f t="shared" si="34"/>
        <v/>
      </c>
      <c r="I755" s="137" t="str">
        <f t="shared" si="35"/>
        <v/>
      </c>
    </row>
    <row r="756" spans="1:9" hidden="1" x14ac:dyDescent="0.25">
      <c r="A756" s="114" t="s">
        <v>2681</v>
      </c>
      <c r="B756" s="115" t="s">
        <v>2682</v>
      </c>
      <c r="C756" s="116" t="s">
        <v>20</v>
      </c>
      <c r="D756" s="116">
        <v>0</v>
      </c>
      <c r="E756" s="136" t="s">
        <v>572</v>
      </c>
      <c r="F756" s="137" t="str">
        <f t="shared" si="33"/>
        <v/>
      </c>
      <c r="G756" s="138" t="e">
        <f>IF(A756&lt;&gt;"",IF(AND(#REF!="Padrão",$H$4=#REF!),BDI!$B$17,IF(AND(#REF!="Padrão",$H$4=#REF!),BDI!#REF!,IF(AND(#REF!="Diferenciado",$H$4=#REF!),BDI!$E$17,IF(AND(#REF!="Diferenciado",$H$4=#REF!),BDI!#REF!,IF(#REF!="ZERO",0))))),"")</f>
        <v>#REF!</v>
      </c>
      <c r="H756" s="139" t="str">
        <f t="shared" si="34"/>
        <v/>
      </c>
      <c r="I756" s="137" t="str">
        <f t="shared" si="35"/>
        <v/>
      </c>
    </row>
    <row r="757" spans="1:9" hidden="1" x14ac:dyDescent="0.25">
      <c r="A757" s="114" t="s">
        <v>2683</v>
      </c>
      <c r="B757" s="115" t="s">
        <v>2684</v>
      </c>
      <c r="C757" s="116" t="s">
        <v>20</v>
      </c>
      <c r="D757" s="116">
        <v>0</v>
      </c>
      <c r="E757" s="136" t="s">
        <v>572</v>
      </c>
      <c r="F757" s="137" t="str">
        <f t="shared" si="33"/>
        <v/>
      </c>
      <c r="G757" s="138" t="e">
        <f>IF(A757&lt;&gt;"",IF(AND(#REF!="Padrão",$H$4=#REF!),BDI!$B$17,IF(AND(#REF!="Padrão",$H$4=#REF!),BDI!#REF!,IF(AND(#REF!="Diferenciado",$H$4=#REF!),BDI!$E$17,IF(AND(#REF!="Diferenciado",$H$4=#REF!),BDI!#REF!,IF(#REF!="ZERO",0))))),"")</f>
        <v>#REF!</v>
      </c>
      <c r="H757" s="139" t="str">
        <f t="shared" si="34"/>
        <v/>
      </c>
      <c r="I757" s="137" t="str">
        <f t="shared" si="35"/>
        <v/>
      </c>
    </row>
    <row r="758" spans="1:9" hidden="1" x14ac:dyDescent="0.25">
      <c r="A758" s="114" t="s">
        <v>2685</v>
      </c>
      <c r="B758" s="115" t="s">
        <v>2686</v>
      </c>
      <c r="C758" s="116" t="s">
        <v>20</v>
      </c>
      <c r="D758" s="116">
        <v>0</v>
      </c>
      <c r="E758" s="136" t="s">
        <v>572</v>
      </c>
      <c r="F758" s="137" t="str">
        <f t="shared" si="33"/>
        <v/>
      </c>
      <c r="G758" s="138" t="e">
        <f>IF(A758&lt;&gt;"",IF(AND(#REF!="Padrão",$H$4=#REF!),BDI!$B$17,IF(AND(#REF!="Padrão",$H$4=#REF!),BDI!#REF!,IF(AND(#REF!="Diferenciado",$H$4=#REF!),BDI!$E$17,IF(AND(#REF!="Diferenciado",$H$4=#REF!),BDI!#REF!,IF(#REF!="ZERO",0))))),"")</f>
        <v>#REF!</v>
      </c>
      <c r="H758" s="139" t="str">
        <f t="shared" si="34"/>
        <v/>
      </c>
      <c r="I758" s="137" t="str">
        <f t="shared" si="35"/>
        <v/>
      </c>
    </row>
    <row r="759" spans="1:9" hidden="1" x14ac:dyDescent="0.25">
      <c r="A759" s="114" t="s">
        <v>2687</v>
      </c>
      <c r="B759" s="115" t="s">
        <v>2688</v>
      </c>
      <c r="C759" s="116" t="s">
        <v>20</v>
      </c>
      <c r="D759" s="116">
        <v>0</v>
      </c>
      <c r="E759" s="136" t="s">
        <v>572</v>
      </c>
      <c r="F759" s="137" t="str">
        <f t="shared" si="33"/>
        <v/>
      </c>
      <c r="G759" s="138" t="e">
        <f>IF(A759&lt;&gt;"",IF(AND(#REF!="Padrão",$H$4=#REF!),BDI!$B$17,IF(AND(#REF!="Padrão",$H$4=#REF!),BDI!#REF!,IF(AND(#REF!="Diferenciado",$H$4=#REF!),BDI!$E$17,IF(AND(#REF!="Diferenciado",$H$4=#REF!),BDI!#REF!,IF(#REF!="ZERO",0))))),"")</f>
        <v>#REF!</v>
      </c>
      <c r="H759" s="139" t="str">
        <f t="shared" si="34"/>
        <v/>
      </c>
      <c r="I759" s="137" t="str">
        <f t="shared" si="35"/>
        <v/>
      </c>
    </row>
    <row r="760" spans="1:9" hidden="1" x14ac:dyDescent="0.25">
      <c r="A760" s="114" t="s">
        <v>2689</v>
      </c>
      <c r="B760" s="115" t="s">
        <v>2690</v>
      </c>
      <c r="C760" s="116" t="s">
        <v>20</v>
      </c>
      <c r="D760" s="116">
        <v>0</v>
      </c>
      <c r="E760" s="136" t="s">
        <v>572</v>
      </c>
      <c r="F760" s="137" t="str">
        <f t="shared" si="33"/>
        <v/>
      </c>
      <c r="G760" s="138" t="e">
        <f>IF(A760&lt;&gt;"",IF(AND(#REF!="Padrão",$H$4=#REF!),BDI!$B$17,IF(AND(#REF!="Padrão",$H$4=#REF!),BDI!#REF!,IF(AND(#REF!="Diferenciado",$H$4=#REF!),BDI!$E$17,IF(AND(#REF!="Diferenciado",$H$4=#REF!),BDI!#REF!,IF(#REF!="ZERO",0))))),"")</f>
        <v>#REF!</v>
      </c>
      <c r="H760" s="139" t="str">
        <f t="shared" si="34"/>
        <v/>
      </c>
      <c r="I760" s="137" t="str">
        <f t="shared" si="35"/>
        <v/>
      </c>
    </row>
    <row r="761" spans="1:9" hidden="1" x14ac:dyDescent="0.25">
      <c r="A761" s="114" t="s">
        <v>2691</v>
      </c>
      <c r="B761" s="115" t="s">
        <v>2692</v>
      </c>
      <c r="C761" s="116" t="s">
        <v>20</v>
      </c>
      <c r="D761" s="116">
        <v>0</v>
      </c>
      <c r="E761" s="136" t="s">
        <v>572</v>
      </c>
      <c r="F761" s="137" t="str">
        <f t="shared" si="33"/>
        <v/>
      </c>
      <c r="G761" s="138" t="e">
        <f>IF(A761&lt;&gt;"",IF(AND(#REF!="Padrão",$H$4=#REF!),BDI!$B$17,IF(AND(#REF!="Padrão",$H$4=#REF!),BDI!#REF!,IF(AND(#REF!="Diferenciado",$H$4=#REF!),BDI!$E$17,IF(AND(#REF!="Diferenciado",$H$4=#REF!),BDI!#REF!,IF(#REF!="ZERO",0))))),"")</f>
        <v>#REF!</v>
      </c>
      <c r="H761" s="139" t="str">
        <f t="shared" si="34"/>
        <v/>
      </c>
      <c r="I761" s="137" t="str">
        <f t="shared" si="35"/>
        <v/>
      </c>
    </row>
    <row r="762" spans="1:9" hidden="1" x14ac:dyDescent="0.25">
      <c r="A762" s="114" t="s">
        <v>2693</v>
      </c>
      <c r="B762" s="115" t="s">
        <v>2694</v>
      </c>
      <c r="C762" s="116" t="s">
        <v>20</v>
      </c>
      <c r="D762" s="116">
        <v>0</v>
      </c>
      <c r="E762" s="136" t="s">
        <v>572</v>
      </c>
      <c r="F762" s="137" t="str">
        <f t="shared" si="33"/>
        <v/>
      </c>
      <c r="G762" s="138" t="e">
        <f>IF(A762&lt;&gt;"",IF(AND(#REF!="Padrão",$H$4=#REF!),BDI!$B$17,IF(AND(#REF!="Padrão",$H$4=#REF!),BDI!#REF!,IF(AND(#REF!="Diferenciado",$H$4=#REF!),BDI!$E$17,IF(AND(#REF!="Diferenciado",$H$4=#REF!),BDI!#REF!,IF(#REF!="ZERO",0))))),"")</f>
        <v>#REF!</v>
      </c>
      <c r="H762" s="139" t="str">
        <f t="shared" si="34"/>
        <v/>
      </c>
      <c r="I762" s="137" t="str">
        <f t="shared" si="35"/>
        <v/>
      </c>
    </row>
    <row r="763" spans="1:9" hidden="1" x14ac:dyDescent="0.25">
      <c r="A763" s="114" t="s">
        <v>2695</v>
      </c>
      <c r="B763" s="115" t="s">
        <v>2696</v>
      </c>
      <c r="C763" s="116" t="s">
        <v>20</v>
      </c>
      <c r="D763" s="116">
        <v>0</v>
      </c>
      <c r="E763" s="136" t="s">
        <v>572</v>
      </c>
      <c r="F763" s="137" t="str">
        <f t="shared" si="33"/>
        <v/>
      </c>
      <c r="G763" s="138" t="e">
        <f>IF(A763&lt;&gt;"",IF(AND(#REF!="Padrão",$H$4=#REF!),BDI!$B$17,IF(AND(#REF!="Padrão",$H$4=#REF!),BDI!#REF!,IF(AND(#REF!="Diferenciado",$H$4=#REF!),BDI!$E$17,IF(AND(#REF!="Diferenciado",$H$4=#REF!),BDI!#REF!,IF(#REF!="ZERO",0))))),"")</f>
        <v>#REF!</v>
      </c>
      <c r="H763" s="139" t="str">
        <f t="shared" si="34"/>
        <v/>
      </c>
      <c r="I763" s="137" t="str">
        <f t="shared" si="35"/>
        <v/>
      </c>
    </row>
    <row r="764" spans="1:9" hidden="1" x14ac:dyDescent="0.25">
      <c r="A764" s="114" t="s">
        <v>2697</v>
      </c>
      <c r="B764" s="115" t="s">
        <v>2698</v>
      </c>
      <c r="C764" s="116" t="s">
        <v>20</v>
      </c>
      <c r="D764" s="116">
        <v>0</v>
      </c>
      <c r="E764" s="136" t="s">
        <v>572</v>
      </c>
      <c r="F764" s="137" t="str">
        <f t="shared" si="33"/>
        <v/>
      </c>
      <c r="G764" s="138" t="e">
        <f>IF(A764&lt;&gt;"",IF(AND(#REF!="Padrão",$H$4=#REF!),BDI!$B$17,IF(AND(#REF!="Padrão",$H$4=#REF!),BDI!#REF!,IF(AND(#REF!="Diferenciado",$H$4=#REF!),BDI!$E$17,IF(AND(#REF!="Diferenciado",$H$4=#REF!),BDI!#REF!,IF(#REF!="ZERO",0))))),"")</f>
        <v>#REF!</v>
      </c>
      <c r="H764" s="139" t="str">
        <f t="shared" si="34"/>
        <v/>
      </c>
      <c r="I764" s="137" t="str">
        <f t="shared" si="35"/>
        <v/>
      </c>
    </row>
    <row r="765" spans="1:9" hidden="1" x14ac:dyDescent="0.25">
      <c r="A765" s="114" t="s">
        <v>2699</v>
      </c>
      <c r="B765" s="115" t="s">
        <v>2700</v>
      </c>
      <c r="C765" s="116" t="s">
        <v>20</v>
      </c>
      <c r="D765" s="116">
        <v>0</v>
      </c>
      <c r="E765" s="136" t="s">
        <v>572</v>
      </c>
      <c r="F765" s="137" t="str">
        <f t="shared" si="33"/>
        <v/>
      </c>
      <c r="G765" s="138" t="e">
        <f>IF(A765&lt;&gt;"",IF(AND(#REF!="Padrão",$H$4=#REF!),BDI!$B$17,IF(AND(#REF!="Padrão",$H$4=#REF!),BDI!#REF!,IF(AND(#REF!="Diferenciado",$H$4=#REF!),BDI!$E$17,IF(AND(#REF!="Diferenciado",$H$4=#REF!),BDI!#REF!,IF(#REF!="ZERO",0))))),"")</f>
        <v>#REF!</v>
      </c>
      <c r="H765" s="139" t="str">
        <f t="shared" si="34"/>
        <v/>
      </c>
      <c r="I765" s="137" t="str">
        <f t="shared" si="35"/>
        <v/>
      </c>
    </row>
    <row r="766" spans="1:9" hidden="1" x14ac:dyDescent="0.25">
      <c r="A766" s="114" t="s">
        <v>2701</v>
      </c>
      <c r="B766" s="115" t="s">
        <v>2702</v>
      </c>
      <c r="C766" s="116" t="s">
        <v>20</v>
      </c>
      <c r="D766" s="116">
        <v>0</v>
      </c>
      <c r="E766" s="136" t="s">
        <v>572</v>
      </c>
      <c r="F766" s="137" t="str">
        <f t="shared" si="33"/>
        <v/>
      </c>
      <c r="G766" s="138" t="e">
        <f>IF(A766&lt;&gt;"",IF(AND(#REF!="Padrão",$H$4=#REF!),BDI!$B$17,IF(AND(#REF!="Padrão",$H$4=#REF!),BDI!#REF!,IF(AND(#REF!="Diferenciado",$H$4=#REF!),BDI!$E$17,IF(AND(#REF!="Diferenciado",$H$4=#REF!),BDI!#REF!,IF(#REF!="ZERO",0))))),"")</f>
        <v>#REF!</v>
      </c>
      <c r="H766" s="139" t="str">
        <f t="shared" si="34"/>
        <v/>
      </c>
      <c r="I766" s="137" t="str">
        <f t="shared" si="35"/>
        <v/>
      </c>
    </row>
    <row r="767" spans="1:9" hidden="1" x14ac:dyDescent="0.25">
      <c r="A767" s="114" t="s">
        <v>2703</v>
      </c>
      <c r="B767" s="115" t="s">
        <v>2704</v>
      </c>
      <c r="C767" s="116" t="s">
        <v>20</v>
      </c>
      <c r="D767" s="116">
        <v>0</v>
      </c>
      <c r="E767" s="136" t="s">
        <v>572</v>
      </c>
      <c r="F767" s="137" t="str">
        <f t="shared" si="33"/>
        <v/>
      </c>
      <c r="G767" s="138" t="e">
        <f>IF(A767&lt;&gt;"",IF(AND(#REF!="Padrão",$H$4=#REF!),BDI!$B$17,IF(AND(#REF!="Padrão",$H$4=#REF!),BDI!#REF!,IF(AND(#REF!="Diferenciado",$H$4=#REF!),BDI!$E$17,IF(AND(#REF!="Diferenciado",$H$4=#REF!),BDI!#REF!,IF(#REF!="ZERO",0))))),"")</f>
        <v>#REF!</v>
      </c>
      <c r="H767" s="139" t="str">
        <f t="shared" si="34"/>
        <v/>
      </c>
      <c r="I767" s="137" t="str">
        <f t="shared" si="35"/>
        <v/>
      </c>
    </row>
    <row r="768" spans="1:9" hidden="1" x14ac:dyDescent="0.25">
      <c r="A768" s="114" t="s">
        <v>2705</v>
      </c>
      <c r="B768" s="115" t="s">
        <v>2706</v>
      </c>
      <c r="C768" s="116" t="s">
        <v>20</v>
      </c>
      <c r="D768" s="116">
        <v>0</v>
      </c>
      <c r="E768" s="136" t="s">
        <v>572</v>
      </c>
      <c r="F768" s="137" t="str">
        <f t="shared" si="33"/>
        <v/>
      </c>
      <c r="G768" s="138" t="e">
        <f>IF(A768&lt;&gt;"",IF(AND(#REF!="Padrão",$H$4=#REF!),BDI!$B$17,IF(AND(#REF!="Padrão",$H$4=#REF!),BDI!#REF!,IF(AND(#REF!="Diferenciado",$H$4=#REF!),BDI!$E$17,IF(AND(#REF!="Diferenciado",$H$4=#REF!),BDI!#REF!,IF(#REF!="ZERO",0))))),"")</f>
        <v>#REF!</v>
      </c>
      <c r="H768" s="139" t="str">
        <f t="shared" si="34"/>
        <v/>
      </c>
      <c r="I768" s="137" t="str">
        <f t="shared" si="35"/>
        <v/>
      </c>
    </row>
    <row r="769" spans="1:9" hidden="1" x14ac:dyDescent="0.25">
      <c r="A769" s="114" t="s">
        <v>2707</v>
      </c>
      <c r="B769" s="115" t="s">
        <v>2708</v>
      </c>
      <c r="C769" s="116" t="s">
        <v>20</v>
      </c>
      <c r="D769" s="116">
        <v>0</v>
      </c>
      <c r="E769" s="136" t="s">
        <v>572</v>
      </c>
      <c r="F769" s="137" t="str">
        <f t="shared" si="33"/>
        <v/>
      </c>
      <c r="G769" s="138" t="e">
        <f>IF(A769&lt;&gt;"",IF(AND(#REF!="Padrão",$H$4=#REF!),BDI!$B$17,IF(AND(#REF!="Padrão",$H$4=#REF!),BDI!#REF!,IF(AND(#REF!="Diferenciado",$H$4=#REF!),BDI!$E$17,IF(AND(#REF!="Diferenciado",$H$4=#REF!),BDI!#REF!,IF(#REF!="ZERO",0))))),"")</f>
        <v>#REF!</v>
      </c>
      <c r="H769" s="139" t="str">
        <f t="shared" si="34"/>
        <v/>
      </c>
      <c r="I769" s="137" t="str">
        <f t="shared" si="35"/>
        <v/>
      </c>
    </row>
    <row r="770" spans="1:9" hidden="1" x14ac:dyDescent="0.25">
      <c r="A770" s="114" t="s">
        <v>2709</v>
      </c>
      <c r="B770" s="115" t="s">
        <v>2710</v>
      </c>
      <c r="C770" s="116" t="s">
        <v>20</v>
      </c>
      <c r="D770" s="116">
        <v>0</v>
      </c>
      <c r="E770" s="136" t="s">
        <v>572</v>
      </c>
      <c r="F770" s="137" t="str">
        <f t="shared" si="33"/>
        <v/>
      </c>
      <c r="G770" s="138" t="e">
        <f>IF(A770&lt;&gt;"",IF(AND(#REF!="Padrão",$H$4=#REF!),BDI!$B$17,IF(AND(#REF!="Padrão",$H$4=#REF!),BDI!#REF!,IF(AND(#REF!="Diferenciado",$H$4=#REF!),BDI!$E$17,IF(AND(#REF!="Diferenciado",$H$4=#REF!),BDI!#REF!,IF(#REF!="ZERO",0))))),"")</f>
        <v>#REF!</v>
      </c>
      <c r="H770" s="139" t="str">
        <f t="shared" si="34"/>
        <v/>
      </c>
      <c r="I770" s="137" t="str">
        <f t="shared" si="35"/>
        <v/>
      </c>
    </row>
    <row r="771" spans="1:9" hidden="1" x14ac:dyDescent="0.25">
      <c r="A771" s="114" t="s">
        <v>2711</v>
      </c>
      <c r="B771" s="115" t="s">
        <v>2712</v>
      </c>
      <c r="C771" s="116" t="s">
        <v>20</v>
      </c>
      <c r="D771" s="116">
        <v>0</v>
      </c>
      <c r="E771" s="136" t="s">
        <v>572</v>
      </c>
      <c r="F771" s="137" t="str">
        <f t="shared" si="33"/>
        <v/>
      </c>
      <c r="G771" s="138" t="e">
        <f>IF(A771&lt;&gt;"",IF(AND(#REF!="Padrão",$H$4=#REF!),BDI!$B$17,IF(AND(#REF!="Padrão",$H$4=#REF!),BDI!#REF!,IF(AND(#REF!="Diferenciado",$H$4=#REF!),BDI!$E$17,IF(AND(#REF!="Diferenciado",$H$4=#REF!),BDI!#REF!,IF(#REF!="ZERO",0))))),"")</f>
        <v>#REF!</v>
      </c>
      <c r="H771" s="139" t="str">
        <f t="shared" si="34"/>
        <v/>
      </c>
      <c r="I771" s="137" t="str">
        <f t="shared" si="35"/>
        <v/>
      </c>
    </row>
    <row r="772" spans="1:9" hidden="1" x14ac:dyDescent="0.25">
      <c r="A772" s="114" t="s">
        <v>2713</v>
      </c>
      <c r="B772" s="115" t="s">
        <v>2714</v>
      </c>
      <c r="C772" s="116" t="s">
        <v>20</v>
      </c>
      <c r="D772" s="116">
        <v>0</v>
      </c>
      <c r="E772" s="136" t="s">
        <v>572</v>
      </c>
      <c r="F772" s="137" t="str">
        <f t="shared" si="33"/>
        <v/>
      </c>
      <c r="G772" s="138" t="e">
        <f>IF(A772&lt;&gt;"",IF(AND(#REF!="Padrão",$H$4=#REF!),BDI!$B$17,IF(AND(#REF!="Padrão",$H$4=#REF!),BDI!#REF!,IF(AND(#REF!="Diferenciado",$H$4=#REF!),BDI!$E$17,IF(AND(#REF!="Diferenciado",$H$4=#REF!),BDI!#REF!,IF(#REF!="ZERO",0))))),"")</f>
        <v>#REF!</v>
      </c>
      <c r="H772" s="139" t="str">
        <f t="shared" si="34"/>
        <v/>
      </c>
      <c r="I772" s="137" t="str">
        <f t="shared" si="35"/>
        <v/>
      </c>
    </row>
    <row r="773" spans="1:9" hidden="1" x14ac:dyDescent="0.25">
      <c r="A773" s="114" t="s">
        <v>2715</v>
      </c>
      <c r="B773" s="115" t="s">
        <v>2716</v>
      </c>
      <c r="C773" s="116" t="s">
        <v>20</v>
      </c>
      <c r="D773" s="116">
        <v>0</v>
      </c>
      <c r="E773" s="136" t="s">
        <v>572</v>
      </c>
      <c r="F773" s="137" t="str">
        <f t="shared" si="33"/>
        <v/>
      </c>
      <c r="G773" s="138" t="e">
        <f>IF(A773&lt;&gt;"",IF(AND(#REF!="Padrão",$H$4=#REF!),BDI!$B$17,IF(AND(#REF!="Padrão",$H$4=#REF!),BDI!#REF!,IF(AND(#REF!="Diferenciado",$H$4=#REF!),BDI!$E$17,IF(AND(#REF!="Diferenciado",$H$4=#REF!),BDI!#REF!,IF(#REF!="ZERO",0))))),"")</f>
        <v>#REF!</v>
      </c>
      <c r="H773" s="139" t="str">
        <f t="shared" si="34"/>
        <v/>
      </c>
      <c r="I773" s="137" t="str">
        <f t="shared" si="35"/>
        <v/>
      </c>
    </row>
    <row r="774" spans="1:9" hidden="1" x14ac:dyDescent="0.25">
      <c r="A774" s="114" t="s">
        <v>2717</v>
      </c>
      <c r="B774" s="115" t="s">
        <v>2718</v>
      </c>
      <c r="C774" s="116" t="s">
        <v>20</v>
      </c>
      <c r="D774" s="116">
        <v>0</v>
      </c>
      <c r="E774" s="136" t="s">
        <v>572</v>
      </c>
      <c r="F774" s="137" t="str">
        <f t="shared" si="33"/>
        <v/>
      </c>
      <c r="G774" s="138" t="e">
        <f>IF(A774&lt;&gt;"",IF(AND(#REF!="Padrão",$H$4=#REF!),BDI!$B$17,IF(AND(#REF!="Padrão",$H$4=#REF!),BDI!#REF!,IF(AND(#REF!="Diferenciado",$H$4=#REF!),BDI!$E$17,IF(AND(#REF!="Diferenciado",$H$4=#REF!),BDI!#REF!,IF(#REF!="ZERO",0))))),"")</f>
        <v>#REF!</v>
      </c>
      <c r="H774" s="139" t="str">
        <f t="shared" si="34"/>
        <v/>
      </c>
      <c r="I774" s="137" t="str">
        <f t="shared" si="35"/>
        <v/>
      </c>
    </row>
    <row r="775" spans="1:9" hidden="1" x14ac:dyDescent="0.25">
      <c r="A775" s="114" t="s">
        <v>2719</v>
      </c>
      <c r="B775" s="115" t="s">
        <v>2720</v>
      </c>
      <c r="C775" s="116" t="s">
        <v>20</v>
      </c>
      <c r="D775" s="116">
        <v>0</v>
      </c>
      <c r="E775" s="136" t="s">
        <v>572</v>
      </c>
      <c r="F775" s="137" t="str">
        <f t="shared" ref="F775:F838" si="36">IF(ISNUMBER(E775),D775*E775,"")</f>
        <v/>
      </c>
      <c r="G775" s="138" t="e">
        <f>IF(A775&lt;&gt;"",IF(AND(#REF!="Padrão",$H$4=#REF!),BDI!$B$17,IF(AND(#REF!="Padrão",$H$4=#REF!),BDI!#REF!,IF(AND(#REF!="Diferenciado",$H$4=#REF!),BDI!$E$17,IF(AND(#REF!="Diferenciado",$H$4=#REF!),BDI!#REF!,IF(#REF!="ZERO",0))))),"")</f>
        <v>#REF!</v>
      </c>
      <c r="H775" s="139" t="str">
        <f t="shared" ref="H775:H838" si="37">IF(ISNUMBER(E775),ROUND(E775*(1+G775),2),"")</f>
        <v/>
      </c>
      <c r="I775" s="137" t="str">
        <f t="shared" ref="I775:I838" si="38">IF(ISNUMBER(E775),ROUND(H775*D775,2),"")</f>
        <v/>
      </c>
    </row>
    <row r="776" spans="1:9" hidden="1" x14ac:dyDescent="0.25">
      <c r="A776" s="114" t="s">
        <v>2721</v>
      </c>
      <c r="B776" s="115" t="s">
        <v>2722</v>
      </c>
      <c r="C776" s="116" t="s">
        <v>20</v>
      </c>
      <c r="D776" s="116">
        <v>0</v>
      </c>
      <c r="E776" s="136" t="s">
        <v>572</v>
      </c>
      <c r="F776" s="137" t="str">
        <f t="shared" si="36"/>
        <v/>
      </c>
      <c r="G776" s="138" t="e">
        <f>IF(A776&lt;&gt;"",IF(AND(#REF!="Padrão",$H$4=#REF!),BDI!$B$17,IF(AND(#REF!="Padrão",$H$4=#REF!),BDI!#REF!,IF(AND(#REF!="Diferenciado",$H$4=#REF!),BDI!$E$17,IF(AND(#REF!="Diferenciado",$H$4=#REF!),BDI!#REF!,IF(#REF!="ZERO",0))))),"")</f>
        <v>#REF!</v>
      </c>
      <c r="H776" s="139" t="str">
        <f t="shared" si="37"/>
        <v/>
      </c>
      <c r="I776" s="137" t="str">
        <f t="shared" si="38"/>
        <v/>
      </c>
    </row>
    <row r="777" spans="1:9" hidden="1" x14ac:dyDescent="0.25">
      <c r="A777" s="114" t="s">
        <v>2723</v>
      </c>
      <c r="B777" s="115" t="s">
        <v>2724</v>
      </c>
      <c r="C777" s="116" t="s">
        <v>20</v>
      </c>
      <c r="D777" s="116">
        <v>0</v>
      </c>
      <c r="E777" s="136" t="s">
        <v>572</v>
      </c>
      <c r="F777" s="137" t="str">
        <f t="shared" si="36"/>
        <v/>
      </c>
      <c r="G777" s="138" t="e">
        <f>IF(A777&lt;&gt;"",IF(AND(#REF!="Padrão",$H$4=#REF!),BDI!$B$17,IF(AND(#REF!="Padrão",$H$4=#REF!),BDI!#REF!,IF(AND(#REF!="Diferenciado",$H$4=#REF!),BDI!$E$17,IF(AND(#REF!="Diferenciado",$H$4=#REF!),BDI!#REF!,IF(#REF!="ZERO",0))))),"")</f>
        <v>#REF!</v>
      </c>
      <c r="H777" s="139" t="str">
        <f t="shared" si="37"/>
        <v/>
      </c>
      <c r="I777" s="137" t="str">
        <f t="shared" si="38"/>
        <v/>
      </c>
    </row>
    <row r="778" spans="1:9" hidden="1" x14ac:dyDescent="0.25">
      <c r="A778" s="114" t="s">
        <v>2725</v>
      </c>
      <c r="B778" s="115" t="s">
        <v>2726</v>
      </c>
      <c r="C778" s="116" t="s">
        <v>20</v>
      </c>
      <c r="D778" s="116">
        <v>0</v>
      </c>
      <c r="E778" s="136" t="s">
        <v>572</v>
      </c>
      <c r="F778" s="137" t="str">
        <f t="shared" si="36"/>
        <v/>
      </c>
      <c r="G778" s="138" t="e">
        <f>IF(A778&lt;&gt;"",IF(AND(#REF!="Padrão",$H$4=#REF!),BDI!$B$17,IF(AND(#REF!="Padrão",$H$4=#REF!),BDI!#REF!,IF(AND(#REF!="Diferenciado",$H$4=#REF!),BDI!$E$17,IF(AND(#REF!="Diferenciado",$H$4=#REF!),BDI!#REF!,IF(#REF!="ZERO",0))))),"")</f>
        <v>#REF!</v>
      </c>
      <c r="H778" s="139" t="str">
        <f t="shared" si="37"/>
        <v/>
      </c>
      <c r="I778" s="137" t="str">
        <f t="shared" si="38"/>
        <v/>
      </c>
    </row>
    <row r="779" spans="1:9" hidden="1" x14ac:dyDescent="0.25">
      <c r="A779" s="114" t="s">
        <v>2727</v>
      </c>
      <c r="B779" s="115" t="s">
        <v>2728</v>
      </c>
      <c r="C779" s="116" t="s">
        <v>20</v>
      </c>
      <c r="D779" s="116">
        <v>0</v>
      </c>
      <c r="E779" s="136" t="s">
        <v>572</v>
      </c>
      <c r="F779" s="137" t="str">
        <f t="shared" si="36"/>
        <v/>
      </c>
      <c r="G779" s="138" t="e">
        <f>IF(A779&lt;&gt;"",IF(AND(#REF!="Padrão",$H$4=#REF!),BDI!$B$17,IF(AND(#REF!="Padrão",$H$4=#REF!),BDI!#REF!,IF(AND(#REF!="Diferenciado",$H$4=#REF!),BDI!$E$17,IF(AND(#REF!="Diferenciado",$H$4=#REF!),BDI!#REF!,IF(#REF!="ZERO",0))))),"")</f>
        <v>#REF!</v>
      </c>
      <c r="H779" s="139" t="str">
        <f t="shared" si="37"/>
        <v/>
      </c>
      <c r="I779" s="137" t="str">
        <f t="shared" si="38"/>
        <v/>
      </c>
    </row>
    <row r="780" spans="1:9" hidden="1" x14ac:dyDescent="0.25">
      <c r="A780" s="114" t="s">
        <v>2729</v>
      </c>
      <c r="B780" s="115" t="s">
        <v>2730</v>
      </c>
      <c r="C780" s="116" t="s">
        <v>20</v>
      </c>
      <c r="D780" s="116">
        <v>0</v>
      </c>
      <c r="E780" s="136" t="s">
        <v>572</v>
      </c>
      <c r="F780" s="137" t="str">
        <f t="shared" si="36"/>
        <v/>
      </c>
      <c r="G780" s="138" t="e">
        <f>IF(A780&lt;&gt;"",IF(AND(#REF!="Padrão",$H$4=#REF!),BDI!$B$17,IF(AND(#REF!="Padrão",$H$4=#REF!),BDI!#REF!,IF(AND(#REF!="Diferenciado",$H$4=#REF!),BDI!$E$17,IF(AND(#REF!="Diferenciado",$H$4=#REF!),BDI!#REF!,IF(#REF!="ZERO",0))))),"")</f>
        <v>#REF!</v>
      </c>
      <c r="H780" s="139" t="str">
        <f t="shared" si="37"/>
        <v/>
      </c>
      <c r="I780" s="137" t="str">
        <f t="shared" si="38"/>
        <v/>
      </c>
    </row>
    <row r="781" spans="1:9" hidden="1" x14ac:dyDescent="0.25">
      <c r="A781" s="114" t="s">
        <v>2731</v>
      </c>
      <c r="B781" s="115" t="s">
        <v>2732</v>
      </c>
      <c r="C781" s="116" t="s">
        <v>20</v>
      </c>
      <c r="D781" s="116">
        <v>0</v>
      </c>
      <c r="E781" s="136" t="s">
        <v>572</v>
      </c>
      <c r="F781" s="137" t="str">
        <f t="shared" si="36"/>
        <v/>
      </c>
      <c r="G781" s="138" t="e">
        <f>IF(A781&lt;&gt;"",IF(AND(#REF!="Padrão",$H$4=#REF!),BDI!$B$17,IF(AND(#REF!="Padrão",$H$4=#REF!),BDI!#REF!,IF(AND(#REF!="Diferenciado",$H$4=#REF!),BDI!$E$17,IF(AND(#REF!="Diferenciado",$H$4=#REF!),BDI!#REF!,IF(#REF!="ZERO",0))))),"")</f>
        <v>#REF!</v>
      </c>
      <c r="H781" s="139" t="str">
        <f t="shared" si="37"/>
        <v/>
      </c>
      <c r="I781" s="137" t="str">
        <f t="shared" si="38"/>
        <v/>
      </c>
    </row>
    <row r="782" spans="1:9" hidden="1" x14ac:dyDescent="0.25">
      <c r="A782" s="114" t="s">
        <v>2733</v>
      </c>
      <c r="B782" s="115" t="s">
        <v>2734</v>
      </c>
      <c r="C782" s="116" t="s">
        <v>20</v>
      </c>
      <c r="D782" s="116">
        <v>0</v>
      </c>
      <c r="E782" s="136" t="s">
        <v>572</v>
      </c>
      <c r="F782" s="137" t="str">
        <f t="shared" si="36"/>
        <v/>
      </c>
      <c r="G782" s="138" t="e">
        <f>IF(A782&lt;&gt;"",IF(AND(#REF!="Padrão",$H$4=#REF!),BDI!$B$17,IF(AND(#REF!="Padrão",$H$4=#REF!),BDI!#REF!,IF(AND(#REF!="Diferenciado",$H$4=#REF!),BDI!$E$17,IF(AND(#REF!="Diferenciado",$H$4=#REF!),BDI!#REF!,IF(#REF!="ZERO",0))))),"")</f>
        <v>#REF!</v>
      </c>
      <c r="H782" s="139" t="str">
        <f t="shared" si="37"/>
        <v/>
      </c>
      <c r="I782" s="137" t="str">
        <f t="shared" si="38"/>
        <v/>
      </c>
    </row>
    <row r="783" spans="1:9" hidden="1" x14ac:dyDescent="0.25">
      <c r="A783" s="114" t="s">
        <v>2735</v>
      </c>
      <c r="B783" s="115" t="s">
        <v>2736</v>
      </c>
      <c r="C783" s="116" t="s">
        <v>20</v>
      </c>
      <c r="D783" s="116">
        <v>0</v>
      </c>
      <c r="E783" s="136" t="s">
        <v>572</v>
      </c>
      <c r="F783" s="137" t="str">
        <f t="shared" si="36"/>
        <v/>
      </c>
      <c r="G783" s="138" t="e">
        <f>IF(A783&lt;&gt;"",IF(AND(#REF!="Padrão",$H$4=#REF!),BDI!$B$17,IF(AND(#REF!="Padrão",$H$4=#REF!),BDI!#REF!,IF(AND(#REF!="Diferenciado",$H$4=#REF!),BDI!$E$17,IF(AND(#REF!="Diferenciado",$H$4=#REF!),BDI!#REF!,IF(#REF!="ZERO",0))))),"")</f>
        <v>#REF!</v>
      </c>
      <c r="H783" s="139" t="str">
        <f t="shared" si="37"/>
        <v/>
      </c>
      <c r="I783" s="137" t="str">
        <f t="shared" si="38"/>
        <v/>
      </c>
    </row>
    <row r="784" spans="1:9" hidden="1" x14ac:dyDescent="0.25">
      <c r="A784" s="114" t="s">
        <v>2737</v>
      </c>
      <c r="B784" s="115" t="s">
        <v>2738</v>
      </c>
      <c r="C784" s="116" t="s">
        <v>20</v>
      </c>
      <c r="D784" s="116">
        <v>0</v>
      </c>
      <c r="E784" s="136" t="s">
        <v>572</v>
      </c>
      <c r="F784" s="137" t="str">
        <f t="shared" si="36"/>
        <v/>
      </c>
      <c r="G784" s="138" t="e">
        <f>IF(A784&lt;&gt;"",IF(AND(#REF!="Padrão",$H$4=#REF!),BDI!$B$17,IF(AND(#REF!="Padrão",$H$4=#REF!),BDI!#REF!,IF(AND(#REF!="Diferenciado",$H$4=#REF!),BDI!$E$17,IF(AND(#REF!="Diferenciado",$H$4=#REF!),BDI!#REF!,IF(#REF!="ZERO",0))))),"")</f>
        <v>#REF!</v>
      </c>
      <c r="H784" s="139" t="str">
        <f t="shared" si="37"/>
        <v/>
      </c>
      <c r="I784" s="137" t="str">
        <f t="shared" si="38"/>
        <v/>
      </c>
    </row>
    <row r="785" spans="1:9" hidden="1" x14ac:dyDescent="0.25">
      <c r="A785" s="114" t="s">
        <v>2739</v>
      </c>
      <c r="B785" s="115" t="s">
        <v>2740</v>
      </c>
      <c r="C785" s="116" t="s">
        <v>20</v>
      </c>
      <c r="D785" s="116">
        <v>0</v>
      </c>
      <c r="E785" s="136" t="s">
        <v>572</v>
      </c>
      <c r="F785" s="137" t="str">
        <f t="shared" si="36"/>
        <v/>
      </c>
      <c r="G785" s="138" t="e">
        <f>IF(A785&lt;&gt;"",IF(AND(#REF!="Padrão",$H$4=#REF!),BDI!$B$17,IF(AND(#REF!="Padrão",$H$4=#REF!),BDI!#REF!,IF(AND(#REF!="Diferenciado",$H$4=#REF!),BDI!$E$17,IF(AND(#REF!="Diferenciado",$H$4=#REF!),BDI!#REF!,IF(#REF!="ZERO",0))))),"")</f>
        <v>#REF!</v>
      </c>
      <c r="H785" s="139" t="str">
        <f t="shared" si="37"/>
        <v/>
      </c>
      <c r="I785" s="137" t="str">
        <f t="shared" si="38"/>
        <v/>
      </c>
    </row>
    <row r="786" spans="1:9" hidden="1" x14ac:dyDescent="0.25">
      <c r="A786" s="114" t="s">
        <v>2741</v>
      </c>
      <c r="B786" s="115" t="s">
        <v>2742</v>
      </c>
      <c r="C786" s="116" t="s">
        <v>20</v>
      </c>
      <c r="D786" s="116">
        <v>0</v>
      </c>
      <c r="E786" s="136" t="s">
        <v>572</v>
      </c>
      <c r="F786" s="137" t="str">
        <f t="shared" si="36"/>
        <v/>
      </c>
      <c r="G786" s="138" t="e">
        <f>IF(A786&lt;&gt;"",IF(AND(#REF!="Padrão",$H$4=#REF!),BDI!$B$17,IF(AND(#REF!="Padrão",$H$4=#REF!),BDI!#REF!,IF(AND(#REF!="Diferenciado",$H$4=#REF!),BDI!$E$17,IF(AND(#REF!="Diferenciado",$H$4=#REF!),BDI!#REF!,IF(#REF!="ZERO",0))))),"")</f>
        <v>#REF!</v>
      </c>
      <c r="H786" s="139" t="str">
        <f t="shared" si="37"/>
        <v/>
      </c>
      <c r="I786" s="137" t="str">
        <f t="shared" si="38"/>
        <v/>
      </c>
    </row>
    <row r="787" spans="1:9" hidden="1" x14ac:dyDescent="0.25">
      <c r="A787" s="114" t="s">
        <v>2743</v>
      </c>
      <c r="B787" s="115" t="s">
        <v>2744</v>
      </c>
      <c r="C787" s="116" t="s">
        <v>20</v>
      </c>
      <c r="D787" s="116">
        <v>0</v>
      </c>
      <c r="E787" s="136" t="s">
        <v>572</v>
      </c>
      <c r="F787" s="137" t="str">
        <f t="shared" si="36"/>
        <v/>
      </c>
      <c r="G787" s="138" t="e">
        <f>IF(A787&lt;&gt;"",IF(AND(#REF!="Padrão",$H$4=#REF!),BDI!$B$17,IF(AND(#REF!="Padrão",$H$4=#REF!),BDI!#REF!,IF(AND(#REF!="Diferenciado",$H$4=#REF!),BDI!$E$17,IF(AND(#REF!="Diferenciado",$H$4=#REF!),BDI!#REF!,IF(#REF!="ZERO",0))))),"")</f>
        <v>#REF!</v>
      </c>
      <c r="H787" s="139" t="str">
        <f t="shared" si="37"/>
        <v/>
      </c>
      <c r="I787" s="137" t="str">
        <f t="shared" si="38"/>
        <v/>
      </c>
    </row>
    <row r="788" spans="1:9" hidden="1" x14ac:dyDescent="0.25">
      <c r="A788" s="114" t="s">
        <v>2745</v>
      </c>
      <c r="B788" s="115" t="s">
        <v>2746</v>
      </c>
      <c r="C788" s="116" t="s">
        <v>20</v>
      </c>
      <c r="D788" s="116">
        <v>0</v>
      </c>
      <c r="E788" s="136" t="s">
        <v>572</v>
      </c>
      <c r="F788" s="137" t="str">
        <f t="shared" si="36"/>
        <v/>
      </c>
      <c r="G788" s="138" t="e">
        <f>IF(A788&lt;&gt;"",IF(AND(#REF!="Padrão",$H$4=#REF!),BDI!$B$17,IF(AND(#REF!="Padrão",$H$4=#REF!),BDI!#REF!,IF(AND(#REF!="Diferenciado",$H$4=#REF!),BDI!$E$17,IF(AND(#REF!="Diferenciado",$H$4=#REF!),BDI!#REF!,IF(#REF!="ZERO",0))))),"")</f>
        <v>#REF!</v>
      </c>
      <c r="H788" s="139" t="str">
        <f t="shared" si="37"/>
        <v/>
      </c>
      <c r="I788" s="137" t="str">
        <f t="shared" si="38"/>
        <v/>
      </c>
    </row>
    <row r="789" spans="1:9" hidden="1" x14ac:dyDescent="0.25">
      <c r="A789" s="114" t="s">
        <v>2747</v>
      </c>
      <c r="B789" s="115" t="s">
        <v>2748</v>
      </c>
      <c r="C789" s="116" t="s">
        <v>20</v>
      </c>
      <c r="D789" s="116">
        <v>0</v>
      </c>
      <c r="E789" s="136" t="s">
        <v>572</v>
      </c>
      <c r="F789" s="137" t="str">
        <f t="shared" si="36"/>
        <v/>
      </c>
      <c r="G789" s="138" t="e">
        <f>IF(A789&lt;&gt;"",IF(AND(#REF!="Padrão",$H$4=#REF!),BDI!$B$17,IF(AND(#REF!="Padrão",$H$4=#REF!),BDI!#REF!,IF(AND(#REF!="Diferenciado",$H$4=#REF!),BDI!$E$17,IF(AND(#REF!="Diferenciado",$H$4=#REF!),BDI!#REF!,IF(#REF!="ZERO",0))))),"")</f>
        <v>#REF!</v>
      </c>
      <c r="H789" s="139" t="str">
        <f t="shared" si="37"/>
        <v/>
      </c>
      <c r="I789" s="137" t="str">
        <f t="shared" si="38"/>
        <v/>
      </c>
    </row>
    <row r="790" spans="1:9" hidden="1" x14ac:dyDescent="0.25">
      <c r="A790" s="114" t="s">
        <v>2749</v>
      </c>
      <c r="B790" s="115" t="s">
        <v>2750</v>
      </c>
      <c r="C790" s="116" t="s">
        <v>20</v>
      </c>
      <c r="D790" s="116">
        <v>0</v>
      </c>
      <c r="E790" s="136" t="s">
        <v>572</v>
      </c>
      <c r="F790" s="137" t="str">
        <f t="shared" si="36"/>
        <v/>
      </c>
      <c r="G790" s="138" t="e">
        <f>IF(A790&lt;&gt;"",IF(AND(#REF!="Padrão",$H$4=#REF!),BDI!$B$17,IF(AND(#REF!="Padrão",$H$4=#REF!),BDI!#REF!,IF(AND(#REF!="Diferenciado",$H$4=#REF!),BDI!$E$17,IF(AND(#REF!="Diferenciado",$H$4=#REF!),BDI!#REF!,IF(#REF!="ZERO",0))))),"")</f>
        <v>#REF!</v>
      </c>
      <c r="H790" s="139" t="str">
        <f t="shared" si="37"/>
        <v/>
      </c>
      <c r="I790" s="137" t="str">
        <f t="shared" si="38"/>
        <v/>
      </c>
    </row>
    <row r="791" spans="1:9" hidden="1" x14ac:dyDescent="0.25">
      <c r="A791" s="114" t="s">
        <v>2751</v>
      </c>
      <c r="B791" s="115" t="s">
        <v>2752</v>
      </c>
      <c r="C791" s="116" t="s">
        <v>20</v>
      </c>
      <c r="D791" s="116">
        <v>0</v>
      </c>
      <c r="E791" s="136" t="s">
        <v>572</v>
      </c>
      <c r="F791" s="137" t="str">
        <f t="shared" si="36"/>
        <v/>
      </c>
      <c r="G791" s="138" t="e">
        <f>IF(A791&lt;&gt;"",IF(AND(#REF!="Padrão",$H$4=#REF!),BDI!$B$17,IF(AND(#REF!="Padrão",$H$4=#REF!),BDI!#REF!,IF(AND(#REF!="Diferenciado",$H$4=#REF!),BDI!$E$17,IF(AND(#REF!="Diferenciado",$H$4=#REF!),BDI!#REF!,IF(#REF!="ZERO",0))))),"")</f>
        <v>#REF!</v>
      </c>
      <c r="H791" s="139" t="str">
        <f t="shared" si="37"/>
        <v/>
      </c>
      <c r="I791" s="137" t="str">
        <f t="shared" si="38"/>
        <v/>
      </c>
    </row>
    <row r="792" spans="1:9" hidden="1" x14ac:dyDescent="0.25">
      <c r="A792" s="114" t="s">
        <v>2753</v>
      </c>
      <c r="B792" s="115" t="s">
        <v>2754</v>
      </c>
      <c r="C792" s="116" t="s">
        <v>20</v>
      </c>
      <c r="D792" s="116">
        <v>0</v>
      </c>
      <c r="E792" s="136" t="s">
        <v>572</v>
      </c>
      <c r="F792" s="137" t="str">
        <f t="shared" si="36"/>
        <v/>
      </c>
      <c r="G792" s="138" t="e">
        <f>IF(A792&lt;&gt;"",IF(AND(#REF!="Padrão",$H$4=#REF!),BDI!$B$17,IF(AND(#REF!="Padrão",$H$4=#REF!),BDI!#REF!,IF(AND(#REF!="Diferenciado",$H$4=#REF!),BDI!$E$17,IF(AND(#REF!="Diferenciado",$H$4=#REF!),BDI!#REF!,IF(#REF!="ZERO",0))))),"")</f>
        <v>#REF!</v>
      </c>
      <c r="H792" s="139" t="str">
        <f t="shared" si="37"/>
        <v/>
      </c>
      <c r="I792" s="137" t="str">
        <f t="shared" si="38"/>
        <v/>
      </c>
    </row>
    <row r="793" spans="1:9" hidden="1" x14ac:dyDescent="0.25">
      <c r="A793" s="114" t="s">
        <v>2755</v>
      </c>
      <c r="B793" s="115" t="s">
        <v>2756</v>
      </c>
      <c r="C793" s="116" t="s">
        <v>20</v>
      </c>
      <c r="D793" s="116">
        <v>0</v>
      </c>
      <c r="E793" s="136" t="s">
        <v>572</v>
      </c>
      <c r="F793" s="137" t="str">
        <f t="shared" si="36"/>
        <v/>
      </c>
      <c r="G793" s="138" t="e">
        <f>IF(A793&lt;&gt;"",IF(AND(#REF!="Padrão",$H$4=#REF!),BDI!$B$17,IF(AND(#REF!="Padrão",$H$4=#REF!),BDI!#REF!,IF(AND(#REF!="Diferenciado",$H$4=#REF!),BDI!$E$17,IF(AND(#REF!="Diferenciado",$H$4=#REF!),BDI!#REF!,IF(#REF!="ZERO",0))))),"")</f>
        <v>#REF!</v>
      </c>
      <c r="H793" s="139" t="str">
        <f t="shared" si="37"/>
        <v/>
      </c>
      <c r="I793" s="137" t="str">
        <f t="shared" si="38"/>
        <v/>
      </c>
    </row>
    <row r="794" spans="1:9" hidden="1" x14ac:dyDescent="0.25">
      <c r="A794" s="114" t="s">
        <v>2757</v>
      </c>
      <c r="B794" s="115" t="s">
        <v>2758</v>
      </c>
      <c r="C794" s="116" t="s">
        <v>20</v>
      </c>
      <c r="D794" s="116">
        <v>0</v>
      </c>
      <c r="E794" s="136" t="s">
        <v>572</v>
      </c>
      <c r="F794" s="137" t="str">
        <f t="shared" si="36"/>
        <v/>
      </c>
      <c r="G794" s="138" t="e">
        <f>IF(A794&lt;&gt;"",IF(AND(#REF!="Padrão",$H$4=#REF!),BDI!$B$17,IF(AND(#REF!="Padrão",$H$4=#REF!),BDI!#REF!,IF(AND(#REF!="Diferenciado",$H$4=#REF!),BDI!$E$17,IF(AND(#REF!="Diferenciado",$H$4=#REF!),BDI!#REF!,IF(#REF!="ZERO",0))))),"")</f>
        <v>#REF!</v>
      </c>
      <c r="H794" s="139" t="str">
        <f t="shared" si="37"/>
        <v/>
      </c>
      <c r="I794" s="137" t="str">
        <f t="shared" si="38"/>
        <v/>
      </c>
    </row>
    <row r="795" spans="1:9" hidden="1" x14ac:dyDescent="0.25">
      <c r="A795" s="114" t="s">
        <v>2759</v>
      </c>
      <c r="B795" s="115" t="s">
        <v>2760</v>
      </c>
      <c r="C795" s="116" t="s">
        <v>20</v>
      </c>
      <c r="D795" s="116">
        <v>0</v>
      </c>
      <c r="E795" s="136" t="s">
        <v>572</v>
      </c>
      <c r="F795" s="137" t="str">
        <f t="shared" si="36"/>
        <v/>
      </c>
      <c r="G795" s="138" t="e">
        <f>IF(A795&lt;&gt;"",IF(AND(#REF!="Padrão",$H$4=#REF!),BDI!$B$17,IF(AND(#REF!="Padrão",$H$4=#REF!),BDI!#REF!,IF(AND(#REF!="Diferenciado",$H$4=#REF!),BDI!$E$17,IF(AND(#REF!="Diferenciado",$H$4=#REF!),BDI!#REF!,IF(#REF!="ZERO",0))))),"")</f>
        <v>#REF!</v>
      </c>
      <c r="H795" s="139" t="str">
        <f t="shared" si="37"/>
        <v/>
      </c>
      <c r="I795" s="137" t="str">
        <f t="shared" si="38"/>
        <v/>
      </c>
    </row>
    <row r="796" spans="1:9" hidden="1" x14ac:dyDescent="0.25">
      <c r="A796" s="114" t="s">
        <v>2761</v>
      </c>
      <c r="B796" s="115" t="s">
        <v>2762</v>
      </c>
      <c r="C796" s="116" t="s">
        <v>20</v>
      </c>
      <c r="D796" s="116">
        <v>0</v>
      </c>
      <c r="E796" s="136" t="s">
        <v>572</v>
      </c>
      <c r="F796" s="137" t="str">
        <f t="shared" si="36"/>
        <v/>
      </c>
      <c r="G796" s="138" t="e">
        <f>IF(A796&lt;&gt;"",IF(AND(#REF!="Padrão",$H$4=#REF!),BDI!$B$17,IF(AND(#REF!="Padrão",$H$4=#REF!),BDI!#REF!,IF(AND(#REF!="Diferenciado",$H$4=#REF!),BDI!$E$17,IF(AND(#REF!="Diferenciado",$H$4=#REF!),BDI!#REF!,IF(#REF!="ZERO",0))))),"")</f>
        <v>#REF!</v>
      </c>
      <c r="H796" s="139" t="str">
        <f t="shared" si="37"/>
        <v/>
      </c>
      <c r="I796" s="137" t="str">
        <f t="shared" si="38"/>
        <v/>
      </c>
    </row>
    <row r="797" spans="1:9" hidden="1" x14ac:dyDescent="0.25">
      <c r="A797" s="114" t="s">
        <v>2763</v>
      </c>
      <c r="B797" s="115" t="s">
        <v>2764</v>
      </c>
      <c r="C797" s="116" t="s">
        <v>20</v>
      </c>
      <c r="D797" s="116">
        <v>0</v>
      </c>
      <c r="E797" s="136" t="s">
        <v>572</v>
      </c>
      <c r="F797" s="137" t="str">
        <f t="shared" si="36"/>
        <v/>
      </c>
      <c r="G797" s="138" t="e">
        <f>IF(A797&lt;&gt;"",IF(AND(#REF!="Padrão",$H$4=#REF!),BDI!$B$17,IF(AND(#REF!="Padrão",$H$4=#REF!),BDI!#REF!,IF(AND(#REF!="Diferenciado",$H$4=#REF!),BDI!$E$17,IF(AND(#REF!="Diferenciado",$H$4=#REF!),BDI!#REF!,IF(#REF!="ZERO",0))))),"")</f>
        <v>#REF!</v>
      </c>
      <c r="H797" s="139" t="str">
        <f t="shared" si="37"/>
        <v/>
      </c>
      <c r="I797" s="137" t="str">
        <f t="shared" si="38"/>
        <v/>
      </c>
    </row>
    <row r="798" spans="1:9" hidden="1" x14ac:dyDescent="0.25">
      <c r="A798" s="114" t="s">
        <v>2765</v>
      </c>
      <c r="B798" s="115" t="s">
        <v>2766</v>
      </c>
      <c r="C798" s="116" t="s">
        <v>20</v>
      </c>
      <c r="D798" s="116">
        <v>0</v>
      </c>
      <c r="E798" s="136" t="s">
        <v>572</v>
      </c>
      <c r="F798" s="137" t="str">
        <f t="shared" si="36"/>
        <v/>
      </c>
      <c r="G798" s="138" t="e">
        <f>IF(A798&lt;&gt;"",IF(AND(#REF!="Padrão",$H$4=#REF!),BDI!$B$17,IF(AND(#REF!="Padrão",$H$4=#REF!),BDI!#REF!,IF(AND(#REF!="Diferenciado",$H$4=#REF!),BDI!$E$17,IF(AND(#REF!="Diferenciado",$H$4=#REF!),BDI!#REF!,IF(#REF!="ZERO",0))))),"")</f>
        <v>#REF!</v>
      </c>
      <c r="H798" s="139" t="str">
        <f t="shared" si="37"/>
        <v/>
      </c>
      <c r="I798" s="137" t="str">
        <f t="shared" si="38"/>
        <v/>
      </c>
    </row>
    <row r="799" spans="1:9" hidden="1" x14ac:dyDescent="0.25">
      <c r="A799" s="114" t="s">
        <v>2767</v>
      </c>
      <c r="B799" s="115" t="s">
        <v>2768</v>
      </c>
      <c r="C799" s="116" t="s">
        <v>20</v>
      </c>
      <c r="D799" s="116">
        <v>0</v>
      </c>
      <c r="E799" s="136" t="s">
        <v>572</v>
      </c>
      <c r="F799" s="137" t="str">
        <f t="shared" si="36"/>
        <v/>
      </c>
      <c r="G799" s="138" t="e">
        <f>IF(A799&lt;&gt;"",IF(AND(#REF!="Padrão",$H$4=#REF!),BDI!$B$17,IF(AND(#REF!="Padrão",$H$4=#REF!),BDI!#REF!,IF(AND(#REF!="Diferenciado",$H$4=#REF!),BDI!$E$17,IF(AND(#REF!="Diferenciado",$H$4=#REF!),BDI!#REF!,IF(#REF!="ZERO",0))))),"")</f>
        <v>#REF!</v>
      </c>
      <c r="H799" s="139" t="str">
        <f t="shared" si="37"/>
        <v/>
      </c>
      <c r="I799" s="137" t="str">
        <f t="shared" si="38"/>
        <v/>
      </c>
    </row>
    <row r="800" spans="1:9" hidden="1" x14ac:dyDescent="0.25">
      <c r="A800" s="114" t="s">
        <v>2769</v>
      </c>
      <c r="B800" s="115" t="s">
        <v>2770</v>
      </c>
      <c r="C800" s="116" t="s">
        <v>20</v>
      </c>
      <c r="D800" s="116">
        <v>0</v>
      </c>
      <c r="E800" s="136" t="s">
        <v>572</v>
      </c>
      <c r="F800" s="137" t="str">
        <f t="shared" si="36"/>
        <v/>
      </c>
      <c r="G800" s="138" t="e">
        <f>IF(A800&lt;&gt;"",IF(AND(#REF!="Padrão",$H$4=#REF!),BDI!$B$17,IF(AND(#REF!="Padrão",$H$4=#REF!),BDI!#REF!,IF(AND(#REF!="Diferenciado",$H$4=#REF!),BDI!$E$17,IF(AND(#REF!="Diferenciado",$H$4=#REF!),BDI!#REF!,IF(#REF!="ZERO",0))))),"")</f>
        <v>#REF!</v>
      </c>
      <c r="H800" s="139" t="str">
        <f t="shared" si="37"/>
        <v/>
      </c>
      <c r="I800" s="137" t="str">
        <f t="shared" si="38"/>
        <v/>
      </c>
    </row>
    <row r="801" spans="1:9" hidden="1" x14ac:dyDescent="0.25">
      <c r="A801" s="114" t="s">
        <v>2771</v>
      </c>
      <c r="B801" s="115" t="s">
        <v>2772</v>
      </c>
      <c r="C801" s="116" t="s">
        <v>20</v>
      </c>
      <c r="D801" s="116">
        <v>0</v>
      </c>
      <c r="E801" s="136" t="s">
        <v>572</v>
      </c>
      <c r="F801" s="137" t="str">
        <f t="shared" si="36"/>
        <v/>
      </c>
      <c r="G801" s="138" t="e">
        <f>IF(A801&lt;&gt;"",IF(AND(#REF!="Padrão",$H$4=#REF!),BDI!$B$17,IF(AND(#REF!="Padrão",$H$4=#REF!),BDI!#REF!,IF(AND(#REF!="Diferenciado",$H$4=#REF!),BDI!$E$17,IF(AND(#REF!="Diferenciado",$H$4=#REF!),BDI!#REF!,IF(#REF!="ZERO",0))))),"")</f>
        <v>#REF!</v>
      </c>
      <c r="H801" s="139" t="str">
        <f t="shared" si="37"/>
        <v/>
      </c>
      <c r="I801" s="137" t="str">
        <f t="shared" si="38"/>
        <v/>
      </c>
    </row>
    <row r="802" spans="1:9" hidden="1" x14ac:dyDescent="0.25">
      <c r="A802" s="114" t="s">
        <v>2773</v>
      </c>
      <c r="B802" s="115" t="s">
        <v>2774</v>
      </c>
      <c r="C802" s="116" t="s">
        <v>20</v>
      </c>
      <c r="D802" s="116">
        <v>0</v>
      </c>
      <c r="E802" s="136" t="s">
        <v>572</v>
      </c>
      <c r="F802" s="137" t="str">
        <f t="shared" si="36"/>
        <v/>
      </c>
      <c r="G802" s="138" t="e">
        <f>IF(A802&lt;&gt;"",IF(AND(#REF!="Padrão",$H$4=#REF!),BDI!$B$17,IF(AND(#REF!="Padrão",$H$4=#REF!),BDI!#REF!,IF(AND(#REF!="Diferenciado",$H$4=#REF!),BDI!$E$17,IF(AND(#REF!="Diferenciado",$H$4=#REF!),BDI!#REF!,IF(#REF!="ZERO",0))))),"")</f>
        <v>#REF!</v>
      </c>
      <c r="H802" s="139" t="str">
        <f t="shared" si="37"/>
        <v/>
      </c>
      <c r="I802" s="137" t="str">
        <f t="shared" si="38"/>
        <v/>
      </c>
    </row>
    <row r="803" spans="1:9" hidden="1" x14ac:dyDescent="0.25">
      <c r="A803" s="114" t="s">
        <v>2775</v>
      </c>
      <c r="B803" s="115" t="s">
        <v>2776</v>
      </c>
      <c r="C803" s="116" t="s">
        <v>20</v>
      </c>
      <c r="D803" s="116">
        <v>0</v>
      </c>
      <c r="E803" s="136" t="s">
        <v>572</v>
      </c>
      <c r="F803" s="137" t="str">
        <f t="shared" si="36"/>
        <v/>
      </c>
      <c r="G803" s="138" t="e">
        <f>IF(A803&lt;&gt;"",IF(AND(#REF!="Padrão",$H$4=#REF!),BDI!$B$17,IF(AND(#REF!="Padrão",$H$4=#REF!),BDI!#REF!,IF(AND(#REF!="Diferenciado",$H$4=#REF!),BDI!$E$17,IF(AND(#REF!="Diferenciado",$H$4=#REF!),BDI!#REF!,IF(#REF!="ZERO",0))))),"")</f>
        <v>#REF!</v>
      </c>
      <c r="H803" s="139" t="str">
        <f t="shared" si="37"/>
        <v/>
      </c>
      <c r="I803" s="137" t="str">
        <f t="shared" si="38"/>
        <v/>
      </c>
    </row>
    <row r="804" spans="1:9" hidden="1" x14ac:dyDescent="0.25">
      <c r="A804" s="114" t="s">
        <v>2777</v>
      </c>
      <c r="B804" s="115" t="s">
        <v>2778</v>
      </c>
      <c r="C804" s="116" t="s">
        <v>20</v>
      </c>
      <c r="D804" s="116">
        <v>0</v>
      </c>
      <c r="E804" s="136" t="s">
        <v>572</v>
      </c>
      <c r="F804" s="137" t="str">
        <f t="shared" si="36"/>
        <v/>
      </c>
      <c r="G804" s="138" t="e">
        <f>IF(A804&lt;&gt;"",IF(AND(#REF!="Padrão",$H$4=#REF!),BDI!$B$17,IF(AND(#REF!="Padrão",$H$4=#REF!),BDI!#REF!,IF(AND(#REF!="Diferenciado",$H$4=#REF!),BDI!$E$17,IF(AND(#REF!="Diferenciado",$H$4=#REF!),BDI!#REF!,IF(#REF!="ZERO",0))))),"")</f>
        <v>#REF!</v>
      </c>
      <c r="H804" s="139" t="str">
        <f t="shared" si="37"/>
        <v/>
      </c>
      <c r="I804" s="137" t="str">
        <f t="shared" si="38"/>
        <v/>
      </c>
    </row>
    <row r="805" spans="1:9" hidden="1" x14ac:dyDescent="0.25">
      <c r="A805" s="114" t="s">
        <v>2779</v>
      </c>
      <c r="B805" s="115" t="s">
        <v>2780</v>
      </c>
      <c r="C805" s="116" t="s">
        <v>20</v>
      </c>
      <c r="D805" s="116">
        <v>0</v>
      </c>
      <c r="E805" s="136" t="s">
        <v>572</v>
      </c>
      <c r="F805" s="137" t="str">
        <f t="shared" si="36"/>
        <v/>
      </c>
      <c r="G805" s="138" t="e">
        <f>IF(A805&lt;&gt;"",IF(AND(#REF!="Padrão",$H$4=#REF!),BDI!$B$17,IF(AND(#REF!="Padrão",$H$4=#REF!),BDI!#REF!,IF(AND(#REF!="Diferenciado",$H$4=#REF!),BDI!$E$17,IF(AND(#REF!="Diferenciado",$H$4=#REF!),BDI!#REF!,IF(#REF!="ZERO",0))))),"")</f>
        <v>#REF!</v>
      </c>
      <c r="H805" s="139" t="str">
        <f t="shared" si="37"/>
        <v/>
      </c>
      <c r="I805" s="137" t="str">
        <f t="shared" si="38"/>
        <v/>
      </c>
    </row>
    <row r="806" spans="1:9" hidden="1" x14ac:dyDescent="0.25">
      <c r="A806" s="114" t="s">
        <v>2781</v>
      </c>
      <c r="B806" s="115" t="s">
        <v>2782</v>
      </c>
      <c r="C806" s="116" t="s">
        <v>20</v>
      </c>
      <c r="D806" s="116">
        <v>0</v>
      </c>
      <c r="E806" s="136" t="s">
        <v>572</v>
      </c>
      <c r="F806" s="137" t="str">
        <f t="shared" si="36"/>
        <v/>
      </c>
      <c r="G806" s="138" t="e">
        <f>IF(A806&lt;&gt;"",IF(AND(#REF!="Padrão",$H$4=#REF!),BDI!$B$17,IF(AND(#REF!="Padrão",$H$4=#REF!),BDI!#REF!,IF(AND(#REF!="Diferenciado",$H$4=#REF!),BDI!$E$17,IF(AND(#REF!="Diferenciado",$H$4=#REF!),BDI!#REF!,IF(#REF!="ZERO",0))))),"")</f>
        <v>#REF!</v>
      </c>
      <c r="H806" s="139" t="str">
        <f t="shared" si="37"/>
        <v/>
      </c>
      <c r="I806" s="137" t="str">
        <f t="shared" si="38"/>
        <v/>
      </c>
    </row>
    <row r="807" spans="1:9" hidden="1" x14ac:dyDescent="0.25">
      <c r="A807" s="114" t="s">
        <v>2783</v>
      </c>
      <c r="B807" s="115" t="s">
        <v>2784</v>
      </c>
      <c r="C807" s="116" t="s">
        <v>20</v>
      </c>
      <c r="D807" s="116">
        <v>0</v>
      </c>
      <c r="E807" s="136" t="s">
        <v>572</v>
      </c>
      <c r="F807" s="137" t="str">
        <f t="shared" si="36"/>
        <v/>
      </c>
      <c r="G807" s="138" t="e">
        <f>IF(A807&lt;&gt;"",IF(AND(#REF!="Padrão",$H$4=#REF!),BDI!$B$17,IF(AND(#REF!="Padrão",$H$4=#REF!),BDI!#REF!,IF(AND(#REF!="Diferenciado",$H$4=#REF!),BDI!$E$17,IF(AND(#REF!="Diferenciado",$H$4=#REF!),BDI!#REF!,IF(#REF!="ZERO",0))))),"")</f>
        <v>#REF!</v>
      </c>
      <c r="H807" s="139" t="str">
        <f t="shared" si="37"/>
        <v/>
      </c>
      <c r="I807" s="137" t="str">
        <f t="shared" si="38"/>
        <v/>
      </c>
    </row>
    <row r="808" spans="1:9" hidden="1" x14ac:dyDescent="0.25">
      <c r="A808" s="114" t="s">
        <v>2785</v>
      </c>
      <c r="B808" s="115" t="s">
        <v>2786</v>
      </c>
      <c r="C808" s="116" t="s">
        <v>20</v>
      </c>
      <c r="D808" s="116">
        <v>0</v>
      </c>
      <c r="E808" s="136" t="s">
        <v>572</v>
      </c>
      <c r="F808" s="137" t="str">
        <f t="shared" si="36"/>
        <v/>
      </c>
      <c r="G808" s="138" t="e">
        <f>IF(A808&lt;&gt;"",IF(AND(#REF!="Padrão",$H$4=#REF!),BDI!$B$17,IF(AND(#REF!="Padrão",$H$4=#REF!),BDI!#REF!,IF(AND(#REF!="Diferenciado",$H$4=#REF!),BDI!$E$17,IF(AND(#REF!="Diferenciado",$H$4=#REF!),BDI!#REF!,IF(#REF!="ZERO",0))))),"")</f>
        <v>#REF!</v>
      </c>
      <c r="H808" s="139" t="str">
        <f t="shared" si="37"/>
        <v/>
      </c>
      <c r="I808" s="137" t="str">
        <f t="shared" si="38"/>
        <v/>
      </c>
    </row>
    <row r="809" spans="1:9" hidden="1" x14ac:dyDescent="0.25">
      <c r="A809" s="114" t="s">
        <v>2787</v>
      </c>
      <c r="B809" s="115" t="s">
        <v>2788</v>
      </c>
      <c r="C809" s="116" t="s">
        <v>20</v>
      </c>
      <c r="D809" s="116">
        <v>0</v>
      </c>
      <c r="E809" s="136" t="s">
        <v>572</v>
      </c>
      <c r="F809" s="137" t="str">
        <f t="shared" si="36"/>
        <v/>
      </c>
      <c r="G809" s="138" t="e">
        <f>IF(A809&lt;&gt;"",IF(AND(#REF!="Padrão",$H$4=#REF!),BDI!$B$17,IF(AND(#REF!="Padrão",$H$4=#REF!),BDI!#REF!,IF(AND(#REF!="Diferenciado",$H$4=#REF!),BDI!$E$17,IF(AND(#REF!="Diferenciado",$H$4=#REF!),BDI!#REF!,IF(#REF!="ZERO",0))))),"")</f>
        <v>#REF!</v>
      </c>
      <c r="H809" s="139" t="str">
        <f t="shared" si="37"/>
        <v/>
      </c>
      <c r="I809" s="137" t="str">
        <f t="shared" si="38"/>
        <v/>
      </c>
    </row>
    <row r="810" spans="1:9" hidden="1" x14ac:dyDescent="0.25">
      <c r="A810" s="114" t="s">
        <v>2789</v>
      </c>
      <c r="B810" s="115" t="s">
        <v>2790</v>
      </c>
      <c r="C810" s="116" t="s">
        <v>20</v>
      </c>
      <c r="D810" s="116">
        <v>0</v>
      </c>
      <c r="E810" s="136" t="s">
        <v>572</v>
      </c>
      <c r="F810" s="137" t="str">
        <f t="shared" si="36"/>
        <v/>
      </c>
      <c r="G810" s="138" t="e">
        <f>IF(A810&lt;&gt;"",IF(AND(#REF!="Padrão",$H$4=#REF!),BDI!$B$17,IF(AND(#REF!="Padrão",$H$4=#REF!),BDI!#REF!,IF(AND(#REF!="Diferenciado",$H$4=#REF!),BDI!$E$17,IF(AND(#REF!="Diferenciado",$H$4=#REF!),BDI!#REF!,IF(#REF!="ZERO",0))))),"")</f>
        <v>#REF!</v>
      </c>
      <c r="H810" s="139" t="str">
        <f t="shared" si="37"/>
        <v/>
      </c>
      <c r="I810" s="137" t="str">
        <f t="shared" si="38"/>
        <v/>
      </c>
    </row>
    <row r="811" spans="1:9" hidden="1" x14ac:dyDescent="0.25">
      <c r="A811" s="114" t="s">
        <v>2791</v>
      </c>
      <c r="B811" s="115" t="s">
        <v>2792</v>
      </c>
      <c r="C811" s="116" t="s">
        <v>20</v>
      </c>
      <c r="D811" s="116">
        <v>0</v>
      </c>
      <c r="E811" s="136" t="s">
        <v>572</v>
      </c>
      <c r="F811" s="137" t="str">
        <f t="shared" si="36"/>
        <v/>
      </c>
      <c r="G811" s="138" t="e">
        <f>IF(A811&lt;&gt;"",IF(AND(#REF!="Padrão",$H$4=#REF!),BDI!$B$17,IF(AND(#REF!="Padrão",$H$4=#REF!),BDI!#REF!,IF(AND(#REF!="Diferenciado",$H$4=#REF!),BDI!$E$17,IF(AND(#REF!="Diferenciado",$H$4=#REF!),BDI!#REF!,IF(#REF!="ZERO",0))))),"")</f>
        <v>#REF!</v>
      </c>
      <c r="H811" s="139" t="str">
        <f t="shared" si="37"/>
        <v/>
      </c>
      <c r="I811" s="137" t="str">
        <f t="shared" si="38"/>
        <v/>
      </c>
    </row>
    <row r="812" spans="1:9" hidden="1" x14ac:dyDescent="0.25">
      <c r="A812" s="114" t="s">
        <v>2793</v>
      </c>
      <c r="B812" s="115" t="s">
        <v>2794</v>
      </c>
      <c r="C812" s="116" t="s">
        <v>20</v>
      </c>
      <c r="D812" s="116">
        <v>0</v>
      </c>
      <c r="E812" s="136" t="s">
        <v>572</v>
      </c>
      <c r="F812" s="137" t="str">
        <f t="shared" si="36"/>
        <v/>
      </c>
      <c r="G812" s="138" t="e">
        <f>IF(A812&lt;&gt;"",IF(AND(#REF!="Padrão",$H$4=#REF!),BDI!$B$17,IF(AND(#REF!="Padrão",$H$4=#REF!),BDI!#REF!,IF(AND(#REF!="Diferenciado",$H$4=#REF!),BDI!$E$17,IF(AND(#REF!="Diferenciado",$H$4=#REF!),BDI!#REF!,IF(#REF!="ZERO",0))))),"")</f>
        <v>#REF!</v>
      </c>
      <c r="H812" s="139" t="str">
        <f t="shared" si="37"/>
        <v/>
      </c>
      <c r="I812" s="137" t="str">
        <f t="shared" si="38"/>
        <v/>
      </c>
    </row>
    <row r="813" spans="1:9" hidden="1" x14ac:dyDescent="0.25">
      <c r="A813" s="114" t="s">
        <v>2795</v>
      </c>
      <c r="B813" s="115" t="s">
        <v>2796</v>
      </c>
      <c r="C813" s="116" t="s">
        <v>20</v>
      </c>
      <c r="D813" s="116">
        <v>0</v>
      </c>
      <c r="E813" s="136" t="s">
        <v>572</v>
      </c>
      <c r="F813" s="137" t="str">
        <f t="shared" si="36"/>
        <v/>
      </c>
      <c r="G813" s="138" t="e">
        <f>IF(A813&lt;&gt;"",IF(AND(#REF!="Padrão",$H$4=#REF!),BDI!$B$17,IF(AND(#REF!="Padrão",$H$4=#REF!),BDI!#REF!,IF(AND(#REF!="Diferenciado",$H$4=#REF!),BDI!$E$17,IF(AND(#REF!="Diferenciado",$H$4=#REF!),BDI!#REF!,IF(#REF!="ZERO",0))))),"")</f>
        <v>#REF!</v>
      </c>
      <c r="H813" s="139" t="str">
        <f t="shared" si="37"/>
        <v/>
      </c>
      <c r="I813" s="137" t="str">
        <f t="shared" si="38"/>
        <v/>
      </c>
    </row>
    <row r="814" spans="1:9" hidden="1" x14ac:dyDescent="0.25">
      <c r="A814" s="114" t="s">
        <v>2797</v>
      </c>
      <c r="B814" s="115" t="s">
        <v>2798</v>
      </c>
      <c r="C814" s="116" t="s">
        <v>20</v>
      </c>
      <c r="D814" s="116">
        <v>0</v>
      </c>
      <c r="E814" s="136" t="s">
        <v>572</v>
      </c>
      <c r="F814" s="137" t="str">
        <f t="shared" si="36"/>
        <v/>
      </c>
      <c r="G814" s="138" t="e">
        <f>IF(A814&lt;&gt;"",IF(AND(#REF!="Padrão",$H$4=#REF!),BDI!$B$17,IF(AND(#REF!="Padrão",$H$4=#REF!),BDI!#REF!,IF(AND(#REF!="Diferenciado",$H$4=#REF!),BDI!$E$17,IF(AND(#REF!="Diferenciado",$H$4=#REF!),BDI!#REF!,IF(#REF!="ZERO",0))))),"")</f>
        <v>#REF!</v>
      </c>
      <c r="H814" s="139" t="str">
        <f t="shared" si="37"/>
        <v/>
      </c>
      <c r="I814" s="137" t="str">
        <f t="shared" si="38"/>
        <v/>
      </c>
    </row>
    <row r="815" spans="1:9" hidden="1" x14ac:dyDescent="0.25">
      <c r="A815" s="114" t="s">
        <v>2799</v>
      </c>
      <c r="B815" s="115" t="s">
        <v>2800</v>
      </c>
      <c r="C815" s="116" t="s">
        <v>20</v>
      </c>
      <c r="D815" s="116">
        <v>0</v>
      </c>
      <c r="E815" s="136" t="s">
        <v>572</v>
      </c>
      <c r="F815" s="137" t="str">
        <f t="shared" si="36"/>
        <v/>
      </c>
      <c r="G815" s="138" t="e">
        <f>IF(A815&lt;&gt;"",IF(AND(#REF!="Padrão",$H$4=#REF!),BDI!$B$17,IF(AND(#REF!="Padrão",$H$4=#REF!),BDI!#REF!,IF(AND(#REF!="Diferenciado",$H$4=#REF!),BDI!$E$17,IF(AND(#REF!="Diferenciado",$H$4=#REF!),BDI!#REF!,IF(#REF!="ZERO",0))))),"")</f>
        <v>#REF!</v>
      </c>
      <c r="H815" s="139" t="str">
        <f t="shared" si="37"/>
        <v/>
      </c>
      <c r="I815" s="137" t="str">
        <f t="shared" si="38"/>
        <v/>
      </c>
    </row>
    <row r="816" spans="1:9" hidden="1" x14ac:dyDescent="0.25">
      <c r="A816" s="114" t="s">
        <v>2801</v>
      </c>
      <c r="B816" s="115" t="s">
        <v>2802</v>
      </c>
      <c r="C816" s="116" t="s">
        <v>20</v>
      </c>
      <c r="D816" s="116">
        <v>0</v>
      </c>
      <c r="E816" s="136" t="s">
        <v>572</v>
      </c>
      <c r="F816" s="137" t="str">
        <f t="shared" si="36"/>
        <v/>
      </c>
      <c r="G816" s="138" t="e">
        <f>IF(A816&lt;&gt;"",IF(AND(#REF!="Padrão",$H$4=#REF!),BDI!$B$17,IF(AND(#REF!="Padrão",$H$4=#REF!),BDI!#REF!,IF(AND(#REF!="Diferenciado",$H$4=#REF!),BDI!$E$17,IF(AND(#REF!="Diferenciado",$H$4=#REF!),BDI!#REF!,IF(#REF!="ZERO",0))))),"")</f>
        <v>#REF!</v>
      </c>
      <c r="H816" s="139" t="str">
        <f t="shared" si="37"/>
        <v/>
      </c>
      <c r="I816" s="137" t="str">
        <f t="shared" si="38"/>
        <v/>
      </c>
    </row>
    <row r="817" spans="1:9" hidden="1" x14ac:dyDescent="0.25">
      <c r="A817" s="114" t="s">
        <v>2803</v>
      </c>
      <c r="B817" s="115" t="s">
        <v>2804</v>
      </c>
      <c r="C817" s="116" t="s">
        <v>20</v>
      </c>
      <c r="D817" s="116">
        <v>0</v>
      </c>
      <c r="E817" s="136" t="s">
        <v>572</v>
      </c>
      <c r="F817" s="137" t="str">
        <f t="shared" si="36"/>
        <v/>
      </c>
      <c r="G817" s="138" t="e">
        <f>IF(A817&lt;&gt;"",IF(AND(#REF!="Padrão",$H$4=#REF!),BDI!$B$17,IF(AND(#REF!="Padrão",$H$4=#REF!),BDI!#REF!,IF(AND(#REF!="Diferenciado",$H$4=#REF!),BDI!$E$17,IF(AND(#REF!="Diferenciado",$H$4=#REF!),BDI!#REF!,IF(#REF!="ZERO",0))))),"")</f>
        <v>#REF!</v>
      </c>
      <c r="H817" s="139" t="str">
        <f t="shared" si="37"/>
        <v/>
      </c>
      <c r="I817" s="137" t="str">
        <f t="shared" si="38"/>
        <v/>
      </c>
    </row>
    <row r="818" spans="1:9" hidden="1" x14ac:dyDescent="0.25">
      <c r="A818" s="114" t="s">
        <v>2805</v>
      </c>
      <c r="B818" s="115" t="s">
        <v>2806</v>
      </c>
      <c r="C818" s="116" t="s">
        <v>20</v>
      </c>
      <c r="D818" s="116">
        <v>0</v>
      </c>
      <c r="E818" s="136" t="s">
        <v>572</v>
      </c>
      <c r="F818" s="137" t="str">
        <f t="shared" si="36"/>
        <v/>
      </c>
      <c r="G818" s="138" t="e">
        <f>IF(A818&lt;&gt;"",IF(AND(#REF!="Padrão",$H$4=#REF!),BDI!$B$17,IF(AND(#REF!="Padrão",$H$4=#REF!),BDI!#REF!,IF(AND(#REF!="Diferenciado",$H$4=#REF!),BDI!$E$17,IF(AND(#REF!="Diferenciado",$H$4=#REF!),BDI!#REF!,IF(#REF!="ZERO",0))))),"")</f>
        <v>#REF!</v>
      </c>
      <c r="H818" s="139" t="str">
        <f t="shared" si="37"/>
        <v/>
      </c>
      <c r="I818" s="137" t="str">
        <f t="shared" si="38"/>
        <v/>
      </c>
    </row>
    <row r="819" spans="1:9" hidden="1" x14ac:dyDescent="0.25">
      <c r="A819" s="114" t="s">
        <v>2807</v>
      </c>
      <c r="B819" s="115" t="s">
        <v>2808</v>
      </c>
      <c r="C819" s="116" t="s">
        <v>20</v>
      </c>
      <c r="D819" s="116">
        <v>0</v>
      </c>
      <c r="E819" s="136" t="s">
        <v>572</v>
      </c>
      <c r="F819" s="137" t="str">
        <f t="shared" si="36"/>
        <v/>
      </c>
      <c r="G819" s="138" t="e">
        <f>IF(A819&lt;&gt;"",IF(AND(#REF!="Padrão",$H$4=#REF!),BDI!$B$17,IF(AND(#REF!="Padrão",$H$4=#REF!),BDI!#REF!,IF(AND(#REF!="Diferenciado",$H$4=#REF!),BDI!$E$17,IF(AND(#REF!="Diferenciado",$H$4=#REF!),BDI!#REF!,IF(#REF!="ZERO",0))))),"")</f>
        <v>#REF!</v>
      </c>
      <c r="H819" s="139" t="str">
        <f t="shared" si="37"/>
        <v/>
      </c>
      <c r="I819" s="137" t="str">
        <f t="shared" si="38"/>
        <v/>
      </c>
    </row>
    <row r="820" spans="1:9" hidden="1" x14ac:dyDescent="0.25">
      <c r="A820" s="114" t="s">
        <v>2809</v>
      </c>
      <c r="B820" s="115" t="s">
        <v>2810</v>
      </c>
      <c r="C820" s="116" t="s">
        <v>20</v>
      </c>
      <c r="D820" s="116">
        <v>0</v>
      </c>
      <c r="E820" s="136" t="s">
        <v>572</v>
      </c>
      <c r="F820" s="137" t="str">
        <f t="shared" si="36"/>
        <v/>
      </c>
      <c r="G820" s="138" t="e">
        <f>IF(A820&lt;&gt;"",IF(AND(#REF!="Padrão",$H$4=#REF!),BDI!$B$17,IF(AND(#REF!="Padrão",$H$4=#REF!),BDI!#REF!,IF(AND(#REF!="Diferenciado",$H$4=#REF!),BDI!$E$17,IF(AND(#REF!="Diferenciado",$H$4=#REF!),BDI!#REF!,IF(#REF!="ZERO",0))))),"")</f>
        <v>#REF!</v>
      </c>
      <c r="H820" s="139" t="str">
        <f t="shared" si="37"/>
        <v/>
      </c>
      <c r="I820" s="137" t="str">
        <f t="shared" si="38"/>
        <v/>
      </c>
    </row>
    <row r="821" spans="1:9" hidden="1" x14ac:dyDescent="0.25">
      <c r="A821" s="114" t="s">
        <v>2811</v>
      </c>
      <c r="B821" s="115" t="s">
        <v>2812</v>
      </c>
      <c r="C821" s="116" t="s">
        <v>20</v>
      </c>
      <c r="D821" s="116">
        <v>0</v>
      </c>
      <c r="E821" s="136" t="s">
        <v>572</v>
      </c>
      <c r="F821" s="137" t="str">
        <f t="shared" si="36"/>
        <v/>
      </c>
      <c r="G821" s="138" t="e">
        <f>IF(A821&lt;&gt;"",IF(AND(#REF!="Padrão",$H$4=#REF!),BDI!$B$17,IF(AND(#REF!="Padrão",$H$4=#REF!),BDI!#REF!,IF(AND(#REF!="Diferenciado",$H$4=#REF!),BDI!$E$17,IF(AND(#REF!="Diferenciado",$H$4=#REF!),BDI!#REF!,IF(#REF!="ZERO",0))))),"")</f>
        <v>#REF!</v>
      </c>
      <c r="H821" s="139" t="str">
        <f t="shared" si="37"/>
        <v/>
      </c>
      <c r="I821" s="137" t="str">
        <f t="shared" si="38"/>
        <v/>
      </c>
    </row>
    <row r="822" spans="1:9" hidden="1" x14ac:dyDescent="0.25">
      <c r="A822" s="114" t="s">
        <v>2813</v>
      </c>
      <c r="B822" s="115" t="s">
        <v>2814</v>
      </c>
      <c r="C822" s="116" t="s">
        <v>20</v>
      </c>
      <c r="D822" s="116">
        <v>0</v>
      </c>
      <c r="E822" s="136" t="s">
        <v>572</v>
      </c>
      <c r="F822" s="137" t="str">
        <f t="shared" si="36"/>
        <v/>
      </c>
      <c r="G822" s="138" t="e">
        <f>IF(A822&lt;&gt;"",IF(AND(#REF!="Padrão",$H$4=#REF!),BDI!$B$17,IF(AND(#REF!="Padrão",$H$4=#REF!),BDI!#REF!,IF(AND(#REF!="Diferenciado",$H$4=#REF!),BDI!$E$17,IF(AND(#REF!="Diferenciado",$H$4=#REF!),BDI!#REF!,IF(#REF!="ZERO",0))))),"")</f>
        <v>#REF!</v>
      </c>
      <c r="H822" s="139" t="str">
        <f t="shared" si="37"/>
        <v/>
      </c>
      <c r="I822" s="137" t="str">
        <f t="shared" si="38"/>
        <v/>
      </c>
    </row>
    <row r="823" spans="1:9" hidden="1" x14ac:dyDescent="0.25">
      <c r="A823" s="114" t="s">
        <v>2815</v>
      </c>
      <c r="B823" s="115" t="s">
        <v>2816</v>
      </c>
      <c r="C823" s="116" t="s">
        <v>20</v>
      </c>
      <c r="D823" s="116">
        <v>0</v>
      </c>
      <c r="E823" s="136" t="s">
        <v>572</v>
      </c>
      <c r="F823" s="137" t="str">
        <f t="shared" si="36"/>
        <v/>
      </c>
      <c r="G823" s="138" t="e">
        <f>IF(A823&lt;&gt;"",IF(AND(#REF!="Padrão",$H$4=#REF!),BDI!$B$17,IF(AND(#REF!="Padrão",$H$4=#REF!),BDI!#REF!,IF(AND(#REF!="Diferenciado",$H$4=#REF!),BDI!$E$17,IF(AND(#REF!="Diferenciado",$H$4=#REF!),BDI!#REF!,IF(#REF!="ZERO",0))))),"")</f>
        <v>#REF!</v>
      </c>
      <c r="H823" s="139" t="str">
        <f t="shared" si="37"/>
        <v/>
      </c>
      <c r="I823" s="137" t="str">
        <f t="shared" si="38"/>
        <v/>
      </c>
    </row>
    <row r="824" spans="1:9" hidden="1" x14ac:dyDescent="0.25">
      <c r="A824" s="114" t="s">
        <v>2817</v>
      </c>
      <c r="B824" s="115" t="s">
        <v>2818</v>
      </c>
      <c r="C824" s="116" t="s">
        <v>20</v>
      </c>
      <c r="D824" s="116">
        <v>0</v>
      </c>
      <c r="E824" s="136" t="s">
        <v>572</v>
      </c>
      <c r="F824" s="137" t="str">
        <f t="shared" si="36"/>
        <v/>
      </c>
      <c r="G824" s="138" t="e">
        <f>IF(A824&lt;&gt;"",IF(AND(#REF!="Padrão",$H$4=#REF!),BDI!$B$17,IF(AND(#REF!="Padrão",$H$4=#REF!),BDI!#REF!,IF(AND(#REF!="Diferenciado",$H$4=#REF!),BDI!$E$17,IF(AND(#REF!="Diferenciado",$H$4=#REF!),BDI!#REF!,IF(#REF!="ZERO",0))))),"")</f>
        <v>#REF!</v>
      </c>
      <c r="H824" s="139" t="str">
        <f t="shared" si="37"/>
        <v/>
      </c>
      <c r="I824" s="137" t="str">
        <f t="shared" si="38"/>
        <v/>
      </c>
    </row>
    <row r="825" spans="1:9" hidden="1" x14ac:dyDescent="0.25">
      <c r="A825" s="114" t="s">
        <v>2819</v>
      </c>
      <c r="B825" s="115" t="s">
        <v>2820</v>
      </c>
      <c r="C825" s="116" t="s">
        <v>20</v>
      </c>
      <c r="D825" s="116">
        <v>0</v>
      </c>
      <c r="E825" s="136" t="s">
        <v>572</v>
      </c>
      <c r="F825" s="137" t="str">
        <f t="shared" si="36"/>
        <v/>
      </c>
      <c r="G825" s="138" t="e">
        <f>IF(A825&lt;&gt;"",IF(AND(#REF!="Padrão",$H$4=#REF!),BDI!$B$17,IF(AND(#REF!="Padrão",$H$4=#REF!),BDI!#REF!,IF(AND(#REF!="Diferenciado",$H$4=#REF!),BDI!$E$17,IF(AND(#REF!="Diferenciado",$H$4=#REF!),BDI!#REF!,IF(#REF!="ZERO",0))))),"")</f>
        <v>#REF!</v>
      </c>
      <c r="H825" s="139" t="str">
        <f t="shared" si="37"/>
        <v/>
      </c>
      <c r="I825" s="137" t="str">
        <f t="shared" si="38"/>
        <v/>
      </c>
    </row>
    <row r="826" spans="1:9" hidden="1" x14ac:dyDescent="0.25">
      <c r="A826" s="114" t="s">
        <v>2821</v>
      </c>
      <c r="B826" s="115" t="s">
        <v>2822</v>
      </c>
      <c r="C826" s="116" t="s">
        <v>2823</v>
      </c>
      <c r="D826" s="116">
        <v>0</v>
      </c>
      <c r="E826" s="136" t="s">
        <v>572</v>
      </c>
      <c r="F826" s="137" t="str">
        <f t="shared" si="36"/>
        <v/>
      </c>
      <c r="G826" s="138" t="e">
        <f>IF(A826&lt;&gt;"",IF(AND(#REF!="Padrão",$H$4=#REF!),BDI!$B$17,IF(AND(#REF!="Padrão",$H$4=#REF!),BDI!#REF!,IF(AND(#REF!="Diferenciado",$H$4=#REF!),BDI!$E$17,IF(AND(#REF!="Diferenciado",$H$4=#REF!),BDI!#REF!,IF(#REF!="ZERO",0))))),"")</f>
        <v>#REF!</v>
      </c>
      <c r="H826" s="139" t="str">
        <f t="shared" si="37"/>
        <v/>
      </c>
      <c r="I826" s="137" t="str">
        <f t="shared" si="38"/>
        <v/>
      </c>
    </row>
    <row r="827" spans="1:9" hidden="1" x14ac:dyDescent="0.25">
      <c r="A827" s="114" t="s">
        <v>2824</v>
      </c>
      <c r="B827" s="115" t="s">
        <v>2825</v>
      </c>
      <c r="C827" s="116" t="s">
        <v>20</v>
      </c>
      <c r="D827" s="116">
        <v>0</v>
      </c>
      <c r="E827" s="136" t="s">
        <v>572</v>
      </c>
      <c r="F827" s="137" t="str">
        <f t="shared" si="36"/>
        <v/>
      </c>
      <c r="G827" s="138" t="e">
        <f>IF(A827&lt;&gt;"",IF(AND(#REF!="Padrão",$H$4=#REF!),BDI!$B$17,IF(AND(#REF!="Padrão",$H$4=#REF!),BDI!#REF!,IF(AND(#REF!="Diferenciado",$H$4=#REF!),BDI!$E$17,IF(AND(#REF!="Diferenciado",$H$4=#REF!),BDI!#REF!,IF(#REF!="ZERO",0))))),"")</f>
        <v>#REF!</v>
      </c>
      <c r="H827" s="139" t="str">
        <f t="shared" si="37"/>
        <v/>
      </c>
      <c r="I827" s="137" t="str">
        <f t="shared" si="38"/>
        <v/>
      </c>
    </row>
    <row r="828" spans="1:9" ht="25.5" hidden="1" x14ac:dyDescent="0.25">
      <c r="A828" s="114" t="s">
        <v>2826</v>
      </c>
      <c r="B828" s="115" t="s">
        <v>2827</v>
      </c>
      <c r="C828" s="116" t="s">
        <v>2828</v>
      </c>
      <c r="D828" s="116">
        <v>0</v>
      </c>
      <c r="E828" s="136" t="s">
        <v>572</v>
      </c>
      <c r="F828" s="137" t="str">
        <f t="shared" si="36"/>
        <v/>
      </c>
      <c r="G828" s="138" t="e">
        <f>IF(A828&lt;&gt;"",IF(AND(#REF!="Padrão",$H$4=#REF!),BDI!$B$17,IF(AND(#REF!="Padrão",$H$4=#REF!),BDI!#REF!,IF(AND(#REF!="Diferenciado",$H$4=#REF!),BDI!$E$17,IF(AND(#REF!="Diferenciado",$H$4=#REF!),BDI!#REF!,IF(#REF!="ZERO",0))))),"")</f>
        <v>#REF!</v>
      </c>
      <c r="H828" s="139" t="str">
        <f t="shared" si="37"/>
        <v/>
      </c>
      <c r="I828" s="137" t="str">
        <f t="shared" si="38"/>
        <v/>
      </c>
    </row>
    <row r="829" spans="1:9" ht="25.5" hidden="1" x14ac:dyDescent="0.25">
      <c r="A829" s="114" t="s">
        <v>2829</v>
      </c>
      <c r="B829" s="115" t="s">
        <v>2830</v>
      </c>
      <c r="C829" s="116" t="s">
        <v>2828</v>
      </c>
      <c r="D829" s="116">
        <v>0</v>
      </c>
      <c r="E829" s="136" t="s">
        <v>572</v>
      </c>
      <c r="F829" s="137" t="str">
        <f t="shared" si="36"/>
        <v/>
      </c>
      <c r="G829" s="138" t="e">
        <f>IF(A829&lt;&gt;"",IF(AND(#REF!="Padrão",$H$4=#REF!),BDI!$B$17,IF(AND(#REF!="Padrão",$H$4=#REF!),BDI!#REF!,IF(AND(#REF!="Diferenciado",$H$4=#REF!),BDI!$E$17,IF(AND(#REF!="Diferenciado",$H$4=#REF!),BDI!#REF!,IF(#REF!="ZERO",0))))),"")</f>
        <v>#REF!</v>
      </c>
      <c r="H829" s="139" t="str">
        <f t="shared" si="37"/>
        <v/>
      </c>
      <c r="I829" s="137" t="str">
        <f t="shared" si="38"/>
        <v/>
      </c>
    </row>
    <row r="830" spans="1:9" hidden="1" x14ac:dyDescent="0.25">
      <c r="A830" s="114" t="s">
        <v>2831</v>
      </c>
      <c r="B830" s="115" t="s">
        <v>2832</v>
      </c>
      <c r="C830" s="116" t="s">
        <v>2828</v>
      </c>
      <c r="D830" s="116">
        <v>0</v>
      </c>
      <c r="E830" s="136" t="s">
        <v>572</v>
      </c>
      <c r="F830" s="137" t="str">
        <f t="shared" si="36"/>
        <v/>
      </c>
      <c r="G830" s="138" t="e">
        <f>IF(A830&lt;&gt;"",IF(AND(#REF!="Padrão",$H$4=#REF!),BDI!$B$17,IF(AND(#REF!="Padrão",$H$4=#REF!),BDI!#REF!,IF(AND(#REF!="Diferenciado",$H$4=#REF!),BDI!$E$17,IF(AND(#REF!="Diferenciado",$H$4=#REF!),BDI!#REF!,IF(#REF!="ZERO",0))))),"")</f>
        <v>#REF!</v>
      </c>
      <c r="H830" s="139" t="str">
        <f t="shared" si="37"/>
        <v/>
      </c>
      <c r="I830" s="137" t="str">
        <f t="shared" si="38"/>
        <v/>
      </c>
    </row>
    <row r="831" spans="1:9" hidden="1" x14ac:dyDescent="0.25">
      <c r="A831" s="114" t="s">
        <v>2833</v>
      </c>
      <c r="B831" s="115" t="s">
        <v>2834</v>
      </c>
      <c r="C831" s="116" t="s">
        <v>2828</v>
      </c>
      <c r="D831" s="116">
        <v>0</v>
      </c>
      <c r="E831" s="136" t="s">
        <v>572</v>
      </c>
      <c r="F831" s="137" t="str">
        <f t="shared" si="36"/>
        <v/>
      </c>
      <c r="G831" s="138" t="e">
        <f>IF(A831&lt;&gt;"",IF(AND(#REF!="Padrão",$H$4=#REF!),BDI!$B$17,IF(AND(#REF!="Padrão",$H$4=#REF!),BDI!#REF!,IF(AND(#REF!="Diferenciado",$H$4=#REF!),BDI!$E$17,IF(AND(#REF!="Diferenciado",$H$4=#REF!),BDI!#REF!,IF(#REF!="ZERO",0))))),"")</f>
        <v>#REF!</v>
      </c>
      <c r="H831" s="139" t="str">
        <f t="shared" si="37"/>
        <v/>
      </c>
      <c r="I831" s="137" t="str">
        <f t="shared" si="38"/>
        <v/>
      </c>
    </row>
    <row r="832" spans="1:9" hidden="1" x14ac:dyDescent="0.25">
      <c r="A832" s="114" t="s">
        <v>2835</v>
      </c>
      <c r="B832" s="115" t="s">
        <v>2836</v>
      </c>
      <c r="C832" s="116" t="s">
        <v>2066</v>
      </c>
      <c r="D832" s="116">
        <v>0</v>
      </c>
      <c r="E832" s="136" t="s">
        <v>572</v>
      </c>
      <c r="F832" s="137" t="str">
        <f t="shared" si="36"/>
        <v/>
      </c>
      <c r="G832" s="138" t="e">
        <f>IF(A832&lt;&gt;"",IF(AND(#REF!="Padrão",$H$4=#REF!),BDI!$B$17,IF(AND(#REF!="Padrão",$H$4=#REF!),BDI!#REF!,IF(AND(#REF!="Diferenciado",$H$4=#REF!),BDI!$E$17,IF(AND(#REF!="Diferenciado",$H$4=#REF!),BDI!#REF!,IF(#REF!="ZERO",0))))),"")</f>
        <v>#REF!</v>
      </c>
      <c r="H832" s="139" t="str">
        <f t="shared" si="37"/>
        <v/>
      </c>
      <c r="I832" s="137" t="str">
        <f t="shared" si="38"/>
        <v/>
      </c>
    </row>
    <row r="833" spans="1:9" hidden="1" x14ac:dyDescent="0.25">
      <c r="A833" s="114" t="s">
        <v>2837</v>
      </c>
      <c r="B833" s="115" t="s">
        <v>2838</v>
      </c>
      <c r="C833" s="116" t="s">
        <v>2066</v>
      </c>
      <c r="D833" s="116">
        <v>0</v>
      </c>
      <c r="E833" s="136" t="s">
        <v>572</v>
      </c>
      <c r="F833" s="137" t="str">
        <f t="shared" si="36"/>
        <v/>
      </c>
      <c r="G833" s="138" t="e">
        <f>IF(A833&lt;&gt;"",IF(AND(#REF!="Padrão",$H$4=#REF!),BDI!$B$17,IF(AND(#REF!="Padrão",$H$4=#REF!),BDI!#REF!,IF(AND(#REF!="Diferenciado",$H$4=#REF!),BDI!$E$17,IF(AND(#REF!="Diferenciado",$H$4=#REF!),BDI!#REF!,IF(#REF!="ZERO",0))))),"")</f>
        <v>#REF!</v>
      </c>
      <c r="H833" s="139" t="str">
        <f t="shared" si="37"/>
        <v/>
      </c>
      <c r="I833" s="137" t="str">
        <f t="shared" si="38"/>
        <v/>
      </c>
    </row>
    <row r="834" spans="1:9" hidden="1" x14ac:dyDescent="0.25">
      <c r="A834" s="114" t="s">
        <v>2839</v>
      </c>
      <c r="B834" s="115" t="s">
        <v>2840</v>
      </c>
      <c r="C834" s="116" t="s">
        <v>2828</v>
      </c>
      <c r="D834" s="116">
        <v>0</v>
      </c>
      <c r="E834" s="136" t="s">
        <v>572</v>
      </c>
      <c r="F834" s="137" t="str">
        <f t="shared" si="36"/>
        <v/>
      </c>
      <c r="G834" s="138" t="e">
        <f>IF(A834&lt;&gt;"",IF(AND(#REF!="Padrão",$H$4=#REF!),BDI!$B$17,IF(AND(#REF!="Padrão",$H$4=#REF!),BDI!#REF!,IF(AND(#REF!="Diferenciado",$H$4=#REF!),BDI!$E$17,IF(AND(#REF!="Diferenciado",$H$4=#REF!),BDI!#REF!,IF(#REF!="ZERO",0))))),"")</f>
        <v>#REF!</v>
      </c>
      <c r="H834" s="139" t="str">
        <f t="shared" si="37"/>
        <v/>
      </c>
      <c r="I834" s="137" t="str">
        <f t="shared" si="38"/>
        <v/>
      </c>
    </row>
    <row r="835" spans="1:9" hidden="1" x14ac:dyDescent="0.25">
      <c r="A835" s="114" t="s">
        <v>2841</v>
      </c>
      <c r="B835" s="115" t="s">
        <v>2842</v>
      </c>
      <c r="C835" s="116" t="s">
        <v>2828</v>
      </c>
      <c r="D835" s="116">
        <v>0</v>
      </c>
      <c r="E835" s="136" t="s">
        <v>572</v>
      </c>
      <c r="F835" s="137" t="str">
        <f t="shared" si="36"/>
        <v/>
      </c>
      <c r="G835" s="138" t="e">
        <f>IF(A835&lt;&gt;"",IF(AND(#REF!="Padrão",$H$4=#REF!),BDI!$B$17,IF(AND(#REF!="Padrão",$H$4=#REF!),BDI!#REF!,IF(AND(#REF!="Diferenciado",$H$4=#REF!),BDI!$E$17,IF(AND(#REF!="Diferenciado",$H$4=#REF!),BDI!#REF!,IF(#REF!="ZERO",0))))),"")</f>
        <v>#REF!</v>
      </c>
      <c r="H835" s="139" t="str">
        <f t="shared" si="37"/>
        <v/>
      </c>
      <c r="I835" s="137" t="str">
        <f t="shared" si="38"/>
        <v/>
      </c>
    </row>
    <row r="836" spans="1:9" hidden="1" x14ac:dyDescent="0.25">
      <c r="A836" s="114" t="s">
        <v>2843</v>
      </c>
      <c r="B836" s="115" t="s">
        <v>2844</v>
      </c>
      <c r="C836" s="116" t="s">
        <v>2828</v>
      </c>
      <c r="D836" s="116">
        <v>0</v>
      </c>
      <c r="E836" s="136" t="s">
        <v>572</v>
      </c>
      <c r="F836" s="137" t="str">
        <f t="shared" si="36"/>
        <v/>
      </c>
      <c r="G836" s="138" t="e">
        <f>IF(A836&lt;&gt;"",IF(AND(#REF!="Padrão",$H$4=#REF!),BDI!$B$17,IF(AND(#REF!="Padrão",$H$4=#REF!),BDI!#REF!,IF(AND(#REF!="Diferenciado",$H$4=#REF!),BDI!$E$17,IF(AND(#REF!="Diferenciado",$H$4=#REF!),BDI!#REF!,IF(#REF!="ZERO",0))))),"")</f>
        <v>#REF!</v>
      </c>
      <c r="H836" s="139" t="str">
        <f t="shared" si="37"/>
        <v/>
      </c>
      <c r="I836" s="137" t="str">
        <f t="shared" si="38"/>
        <v/>
      </c>
    </row>
    <row r="837" spans="1:9" hidden="1" x14ac:dyDescent="0.25">
      <c r="A837" s="114" t="s">
        <v>2845</v>
      </c>
      <c r="B837" s="115" t="s">
        <v>2846</v>
      </c>
      <c r="C837" s="116" t="s">
        <v>2828</v>
      </c>
      <c r="D837" s="116">
        <v>0</v>
      </c>
      <c r="E837" s="136" t="s">
        <v>572</v>
      </c>
      <c r="F837" s="137" t="str">
        <f t="shared" si="36"/>
        <v/>
      </c>
      <c r="G837" s="138" t="e">
        <f>IF(A837&lt;&gt;"",IF(AND(#REF!="Padrão",$H$4=#REF!),BDI!$B$17,IF(AND(#REF!="Padrão",$H$4=#REF!),BDI!#REF!,IF(AND(#REF!="Diferenciado",$H$4=#REF!),BDI!$E$17,IF(AND(#REF!="Diferenciado",$H$4=#REF!),BDI!#REF!,IF(#REF!="ZERO",0))))),"")</f>
        <v>#REF!</v>
      </c>
      <c r="H837" s="139" t="str">
        <f t="shared" si="37"/>
        <v/>
      </c>
      <c r="I837" s="137" t="str">
        <f t="shared" si="38"/>
        <v/>
      </c>
    </row>
    <row r="838" spans="1:9" hidden="1" x14ac:dyDescent="0.25">
      <c r="A838" s="114" t="s">
        <v>2847</v>
      </c>
      <c r="B838" s="115" t="s">
        <v>2848</v>
      </c>
      <c r="C838" s="116" t="s">
        <v>2828</v>
      </c>
      <c r="D838" s="116">
        <v>0</v>
      </c>
      <c r="E838" s="136" t="s">
        <v>572</v>
      </c>
      <c r="F838" s="137" t="str">
        <f t="shared" si="36"/>
        <v/>
      </c>
      <c r="G838" s="138" t="e">
        <f>IF(A838&lt;&gt;"",IF(AND(#REF!="Padrão",$H$4=#REF!),BDI!$B$17,IF(AND(#REF!="Padrão",$H$4=#REF!),BDI!#REF!,IF(AND(#REF!="Diferenciado",$H$4=#REF!),BDI!$E$17,IF(AND(#REF!="Diferenciado",$H$4=#REF!),BDI!#REF!,IF(#REF!="ZERO",0))))),"")</f>
        <v>#REF!</v>
      </c>
      <c r="H838" s="139" t="str">
        <f t="shared" si="37"/>
        <v/>
      </c>
      <c r="I838" s="137" t="str">
        <f t="shared" si="38"/>
        <v/>
      </c>
    </row>
    <row r="839" spans="1:9" hidden="1" x14ac:dyDescent="0.25">
      <c r="A839" s="114" t="s">
        <v>2849</v>
      </c>
      <c r="B839" s="115" t="s">
        <v>2850</v>
      </c>
      <c r="C839" s="116" t="s">
        <v>2066</v>
      </c>
      <c r="D839" s="116">
        <v>0</v>
      </c>
      <c r="E839" s="136" t="s">
        <v>572</v>
      </c>
      <c r="F839" s="137" t="str">
        <f t="shared" ref="F839:F902" si="39">IF(ISNUMBER(E839),D839*E839,"")</f>
        <v/>
      </c>
      <c r="G839" s="138" t="e">
        <f>IF(A839&lt;&gt;"",IF(AND(#REF!="Padrão",$H$4=#REF!),BDI!$B$17,IF(AND(#REF!="Padrão",$H$4=#REF!),BDI!#REF!,IF(AND(#REF!="Diferenciado",$H$4=#REF!),BDI!$E$17,IF(AND(#REF!="Diferenciado",$H$4=#REF!),BDI!#REF!,IF(#REF!="ZERO",0))))),"")</f>
        <v>#REF!</v>
      </c>
      <c r="H839" s="139" t="str">
        <f t="shared" ref="H839:H902" si="40">IF(ISNUMBER(E839),ROUND(E839*(1+G839),2),"")</f>
        <v/>
      </c>
      <c r="I839" s="137" t="str">
        <f t="shared" ref="I839:I902" si="41">IF(ISNUMBER(E839),ROUND(H839*D839,2),"")</f>
        <v/>
      </c>
    </row>
    <row r="840" spans="1:9" hidden="1" x14ac:dyDescent="0.25">
      <c r="A840" s="114" t="s">
        <v>2851</v>
      </c>
      <c r="B840" s="115" t="s">
        <v>2852</v>
      </c>
      <c r="C840" s="116" t="s">
        <v>2828</v>
      </c>
      <c r="D840" s="116">
        <v>0</v>
      </c>
      <c r="E840" s="136" t="s">
        <v>572</v>
      </c>
      <c r="F840" s="137" t="str">
        <f t="shared" si="39"/>
        <v/>
      </c>
      <c r="G840" s="138" t="e">
        <f>IF(A840&lt;&gt;"",IF(AND(#REF!="Padrão",$H$4=#REF!),BDI!$B$17,IF(AND(#REF!="Padrão",$H$4=#REF!),BDI!#REF!,IF(AND(#REF!="Diferenciado",$H$4=#REF!),BDI!$E$17,IF(AND(#REF!="Diferenciado",$H$4=#REF!),BDI!#REF!,IF(#REF!="ZERO",0))))),"")</f>
        <v>#REF!</v>
      </c>
      <c r="H840" s="139" t="str">
        <f t="shared" si="40"/>
        <v/>
      </c>
      <c r="I840" s="137" t="str">
        <f t="shared" si="41"/>
        <v/>
      </c>
    </row>
    <row r="841" spans="1:9" hidden="1" x14ac:dyDescent="0.25">
      <c r="A841" s="114" t="s">
        <v>2853</v>
      </c>
      <c r="B841" s="115" t="s">
        <v>2854</v>
      </c>
      <c r="C841" s="116" t="s">
        <v>2828</v>
      </c>
      <c r="D841" s="116">
        <v>0</v>
      </c>
      <c r="E841" s="136" t="s">
        <v>572</v>
      </c>
      <c r="F841" s="137" t="str">
        <f t="shared" si="39"/>
        <v/>
      </c>
      <c r="G841" s="138" t="e">
        <f>IF(A841&lt;&gt;"",IF(AND(#REF!="Padrão",$H$4=#REF!),BDI!$B$17,IF(AND(#REF!="Padrão",$H$4=#REF!),BDI!#REF!,IF(AND(#REF!="Diferenciado",$H$4=#REF!),BDI!$E$17,IF(AND(#REF!="Diferenciado",$H$4=#REF!),BDI!#REF!,IF(#REF!="ZERO",0))))),"")</f>
        <v>#REF!</v>
      </c>
      <c r="H841" s="139" t="str">
        <f t="shared" si="40"/>
        <v/>
      </c>
      <c r="I841" s="137" t="str">
        <f t="shared" si="41"/>
        <v/>
      </c>
    </row>
    <row r="842" spans="1:9" hidden="1" x14ac:dyDescent="0.25">
      <c r="A842" s="114" t="s">
        <v>2855</v>
      </c>
      <c r="B842" s="115" t="s">
        <v>2856</v>
      </c>
      <c r="C842" s="116" t="s">
        <v>2828</v>
      </c>
      <c r="D842" s="116">
        <v>0</v>
      </c>
      <c r="E842" s="136" t="s">
        <v>572</v>
      </c>
      <c r="F842" s="137" t="str">
        <f t="shared" si="39"/>
        <v/>
      </c>
      <c r="G842" s="138" t="e">
        <f>IF(A842&lt;&gt;"",IF(AND(#REF!="Padrão",$H$4=#REF!),BDI!$B$17,IF(AND(#REF!="Padrão",$H$4=#REF!),BDI!#REF!,IF(AND(#REF!="Diferenciado",$H$4=#REF!),BDI!$E$17,IF(AND(#REF!="Diferenciado",$H$4=#REF!),BDI!#REF!,IF(#REF!="ZERO",0))))),"")</f>
        <v>#REF!</v>
      </c>
      <c r="H842" s="139" t="str">
        <f t="shared" si="40"/>
        <v/>
      </c>
      <c r="I842" s="137" t="str">
        <f t="shared" si="41"/>
        <v/>
      </c>
    </row>
    <row r="843" spans="1:9" hidden="1" x14ac:dyDescent="0.25">
      <c r="A843" s="114" t="s">
        <v>2857</v>
      </c>
      <c r="B843" s="115" t="s">
        <v>2858</v>
      </c>
      <c r="C843" s="116" t="s">
        <v>2828</v>
      </c>
      <c r="D843" s="116">
        <v>0</v>
      </c>
      <c r="E843" s="136" t="s">
        <v>572</v>
      </c>
      <c r="F843" s="137" t="str">
        <f t="shared" si="39"/>
        <v/>
      </c>
      <c r="G843" s="138" t="e">
        <f>IF(A843&lt;&gt;"",IF(AND(#REF!="Padrão",$H$4=#REF!),BDI!$B$17,IF(AND(#REF!="Padrão",$H$4=#REF!),BDI!#REF!,IF(AND(#REF!="Diferenciado",$H$4=#REF!),BDI!$E$17,IF(AND(#REF!="Diferenciado",$H$4=#REF!),BDI!#REF!,IF(#REF!="ZERO",0))))),"")</f>
        <v>#REF!</v>
      </c>
      <c r="H843" s="139" t="str">
        <f t="shared" si="40"/>
        <v/>
      </c>
      <c r="I843" s="137" t="str">
        <f t="shared" si="41"/>
        <v/>
      </c>
    </row>
    <row r="844" spans="1:9" hidden="1" x14ac:dyDescent="0.25">
      <c r="A844" s="114" t="s">
        <v>2859</v>
      </c>
      <c r="B844" s="115" t="s">
        <v>2860</v>
      </c>
      <c r="C844" s="116" t="s">
        <v>2828</v>
      </c>
      <c r="D844" s="116">
        <v>0</v>
      </c>
      <c r="E844" s="136" t="s">
        <v>572</v>
      </c>
      <c r="F844" s="137" t="str">
        <f t="shared" si="39"/>
        <v/>
      </c>
      <c r="G844" s="138" t="e">
        <f>IF(A844&lt;&gt;"",IF(AND(#REF!="Padrão",$H$4=#REF!),BDI!$B$17,IF(AND(#REF!="Padrão",$H$4=#REF!),BDI!#REF!,IF(AND(#REF!="Diferenciado",$H$4=#REF!),BDI!$E$17,IF(AND(#REF!="Diferenciado",$H$4=#REF!),BDI!#REF!,IF(#REF!="ZERO",0))))),"")</f>
        <v>#REF!</v>
      </c>
      <c r="H844" s="139" t="str">
        <f t="shared" si="40"/>
        <v/>
      </c>
      <c r="I844" s="137" t="str">
        <f t="shared" si="41"/>
        <v/>
      </c>
    </row>
    <row r="845" spans="1:9" hidden="1" x14ac:dyDescent="0.25">
      <c r="A845" s="114" t="s">
        <v>2861</v>
      </c>
      <c r="B845" s="115" t="s">
        <v>2862</v>
      </c>
      <c r="C845" s="116" t="s">
        <v>2828</v>
      </c>
      <c r="D845" s="116">
        <v>0</v>
      </c>
      <c r="E845" s="136" t="s">
        <v>572</v>
      </c>
      <c r="F845" s="137" t="str">
        <f t="shared" si="39"/>
        <v/>
      </c>
      <c r="G845" s="138" t="e">
        <f>IF(A845&lt;&gt;"",IF(AND(#REF!="Padrão",$H$4=#REF!),BDI!$B$17,IF(AND(#REF!="Padrão",$H$4=#REF!),BDI!#REF!,IF(AND(#REF!="Diferenciado",$H$4=#REF!),BDI!$E$17,IF(AND(#REF!="Diferenciado",$H$4=#REF!),BDI!#REF!,IF(#REF!="ZERO",0))))),"")</f>
        <v>#REF!</v>
      </c>
      <c r="H845" s="139" t="str">
        <f t="shared" si="40"/>
        <v/>
      </c>
      <c r="I845" s="137" t="str">
        <f t="shared" si="41"/>
        <v/>
      </c>
    </row>
    <row r="846" spans="1:9" hidden="1" x14ac:dyDescent="0.25">
      <c r="A846" s="114" t="s">
        <v>2863</v>
      </c>
      <c r="B846" s="115" t="s">
        <v>2864</v>
      </c>
      <c r="C846" s="116" t="s">
        <v>2828</v>
      </c>
      <c r="D846" s="116">
        <v>0</v>
      </c>
      <c r="E846" s="136" t="s">
        <v>572</v>
      </c>
      <c r="F846" s="137" t="str">
        <f t="shared" si="39"/>
        <v/>
      </c>
      <c r="G846" s="138" t="e">
        <f>IF(A846&lt;&gt;"",IF(AND(#REF!="Padrão",$H$4=#REF!),BDI!$B$17,IF(AND(#REF!="Padrão",$H$4=#REF!),BDI!#REF!,IF(AND(#REF!="Diferenciado",$H$4=#REF!),BDI!$E$17,IF(AND(#REF!="Diferenciado",$H$4=#REF!),BDI!#REF!,IF(#REF!="ZERO",0))))),"")</f>
        <v>#REF!</v>
      </c>
      <c r="H846" s="139" t="str">
        <f t="shared" si="40"/>
        <v/>
      </c>
      <c r="I846" s="137" t="str">
        <f t="shared" si="41"/>
        <v/>
      </c>
    </row>
    <row r="847" spans="1:9" hidden="1" x14ac:dyDescent="0.25">
      <c r="A847" s="114" t="s">
        <v>2865</v>
      </c>
      <c r="B847" s="115" t="s">
        <v>2866</v>
      </c>
      <c r="C847" s="116" t="s">
        <v>2828</v>
      </c>
      <c r="D847" s="116">
        <v>0</v>
      </c>
      <c r="E847" s="136" t="s">
        <v>572</v>
      </c>
      <c r="F847" s="137" t="str">
        <f t="shared" si="39"/>
        <v/>
      </c>
      <c r="G847" s="138" t="e">
        <f>IF(A847&lt;&gt;"",IF(AND(#REF!="Padrão",$H$4=#REF!),BDI!$B$17,IF(AND(#REF!="Padrão",$H$4=#REF!),BDI!#REF!,IF(AND(#REF!="Diferenciado",$H$4=#REF!),BDI!$E$17,IF(AND(#REF!="Diferenciado",$H$4=#REF!),BDI!#REF!,IF(#REF!="ZERO",0))))),"")</f>
        <v>#REF!</v>
      </c>
      <c r="H847" s="139" t="str">
        <f t="shared" si="40"/>
        <v/>
      </c>
      <c r="I847" s="137" t="str">
        <f t="shared" si="41"/>
        <v/>
      </c>
    </row>
    <row r="848" spans="1:9" hidden="1" x14ac:dyDescent="0.25">
      <c r="A848" s="114" t="s">
        <v>2867</v>
      </c>
      <c r="B848" s="115" t="s">
        <v>2868</v>
      </c>
      <c r="C848" s="116" t="s">
        <v>2828</v>
      </c>
      <c r="D848" s="116">
        <v>0</v>
      </c>
      <c r="E848" s="136" t="s">
        <v>572</v>
      </c>
      <c r="F848" s="137" t="str">
        <f t="shared" si="39"/>
        <v/>
      </c>
      <c r="G848" s="138" t="e">
        <f>IF(A848&lt;&gt;"",IF(AND(#REF!="Padrão",$H$4=#REF!),BDI!$B$17,IF(AND(#REF!="Padrão",$H$4=#REF!),BDI!#REF!,IF(AND(#REF!="Diferenciado",$H$4=#REF!),BDI!$E$17,IF(AND(#REF!="Diferenciado",$H$4=#REF!),BDI!#REF!,IF(#REF!="ZERO",0))))),"")</f>
        <v>#REF!</v>
      </c>
      <c r="H848" s="139" t="str">
        <f t="shared" si="40"/>
        <v/>
      </c>
      <c r="I848" s="137" t="str">
        <f t="shared" si="41"/>
        <v/>
      </c>
    </row>
    <row r="849" spans="1:9" hidden="1" x14ac:dyDescent="0.25">
      <c r="A849" s="114" t="s">
        <v>851</v>
      </c>
      <c r="B849" s="115" t="s">
        <v>2869</v>
      </c>
      <c r="C849" s="116" t="s">
        <v>96</v>
      </c>
      <c r="D849" s="116">
        <v>0</v>
      </c>
      <c r="E849" s="136">
        <f ca="1">OFFSET(INDEX(Composições!A:J,MATCH(Orçamentária!A849,Composições!A:A,0),8),2,0)</f>
        <v>36.835300000000004</v>
      </c>
      <c r="F849" s="137">
        <f t="shared" ca="1" si="39"/>
        <v>0</v>
      </c>
      <c r="G849" s="138" t="e">
        <f>IF(A849&lt;&gt;"",IF(AND(#REF!="Padrão",$H$4=#REF!),BDI!$B$17,IF(AND(#REF!="Padrão",$H$4=#REF!),BDI!#REF!,IF(AND(#REF!="Diferenciado",$H$4=#REF!),BDI!$E$17,IF(AND(#REF!="Diferenciado",$H$4=#REF!),BDI!#REF!,IF(#REF!="ZERO",0))))),"")</f>
        <v>#REF!</v>
      </c>
      <c r="H849" s="139" t="e">
        <f t="shared" ca="1" si="40"/>
        <v>#REF!</v>
      </c>
      <c r="I849" s="137" t="e">
        <f t="shared" ca="1" si="41"/>
        <v>#REF!</v>
      </c>
    </row>
    <row r="850" spans="1:9" hidden="1" x14ac:dyDescent="0.25">
      <c r="A850" s="114" t="s">
        <v>853</v>
      </c>
      <c r="B850" s="115" t="s">
        <v>2870</v>
      </c>
      <c r="C850" s="116" t="s">
        <v>96</v>
      </c>
      <c r="D850" s="116">
        <v>0</v>
      </c>
      <c r="E850" s="136">
        <f ca="1">OFFSET(INDEX(Composições!A:J,MATCH(Orçamentária!A850,Composições!A:A,0),8),2,0)</f>
        <v>160.12725</v>
      </c>
      <c r="F850" s="137">
        <f t="shared" ca="1" si="39"/>
        <v>0</v>
      </c>
      <c r="G850" s="138" t="e">
        <f>IF(A850&lt;&gt;"",IF(AND(#REF!="Padrão",$H$4=#REF!),BDI!$B$17,IF(AND(#REF!="Padrão",$H$4=#REF!),BDI!#REF!,IF(AND(#REF!="Diferenciado",$H$4=#REF!),BDI!$E$17,IF(AND(#REF!="Diferenciado",$H$4=#REF!),BDI!#REF!,IF(#REF!="ZERO",0))))),"")</f>
        <v>#REF!</v>
      </c>
      <c r="H850" s="139" t="e">
        <f t="shared" ca="1" si="40"/>
        <v>#REF!</v>
      </c>
      <c r="I850" s="137" t="e">
        <f t="shared" ca="1" si="41"/>
        <v>#REF!</v>
      </c>
    </row>
    <row r="851" spans="1:9" hidden="1" x14ac:dyDescent="0.25">
      <c r="A851" s="114" t="s">
        <v>855</v>
      </c>
      <c r="B851" s="115" t="s">
        <v>2871</v>
      </c>
      <c r="C851" s="116" t="s">
        <v>96</v>
      </c>
      <c r="D851" s="116">
        <v>0</v>
      </c>
      <c r="E851" s="136">
        <f ca="1">OFFSET(INDEX(Composições!A:J,MATCH(Orçamentária!A851,Composições!A:A,0),8),2,0)</f>
        <v>156.53530000000001</v>
      </c>
      <c r="F851" s="137">
        <f t="shared" ca="1" si="39"/>
        <v>0</v>
      </c>
      <c r="G851" s="138" t="e">
        <f>IF(A851&lt;&gt;"",IF(AND(#REF!="Padrão",$H$4=#REF!),BDI!$B$17,IF(AND(#REF!="Padrão",$H$4=#REF!),BDI!#REF!,IF(AND(#REF!="Diferenciado",$H$4=#REF!),BDI!$E$17,IF(AND(#REF!="Diferenciado",$H$4=#REF!),BDI!#REF!,IF(#REF!="ZERO",0))))),"")</f>
        <v>#REF!</v>
      </c>
      <c r="H851" s="139" t="e">
        <f t="shared" ca="1" si="40"/>
        <v>#REF!</v>
      </c>
      <c r="I851" s="137" t="e">
        <f t="shared" ca="1" si="41"/>
        <v>#REF!</v>
      </c>
    </row>
    <row r="852" spans="1:9" hidden="1" x14ac:dyDescent="0.25">
      <c r="A852" s="114" t="s">
        <v>2872</v>
      </c>
      <c r="B852" s="115" t="s">
        <v>2873</v>
      </c>
      <c r="C852" s="116" t="s">
        <v>94</v>
      </c>
      <c r="D852" s="116">
        <v>0</v>
      </c>
      <c r="E852" s="136">
        <f ca="1">OFFSET(INDEX(Composições!A:J,MATCH(Orçamentária!A852,Composições!A:A,0),8),2,0)</f>
        <v>18.425250000000002</v>
      </c>
      <c r="F852" s="137">
        <f t="shared" ca="1" si="39"/>
        <v>0</v>
      </c>
      <c r="G852" s="138" t="e">
        <f>IF(A852&lt;&gt;"",IF(AND(#REF!="Padrão",$H$4=#REF!),BDI!$B$17,IF(AND(#REF!="Padrão",$H$4=#REF!),BDI!#REF!,IF(AND(#REF!="Diferenciado",$H$4=#REF!),BDI!$E$17,IF(AND(#REF!="Diferenciado",$H$4=#REF!),BDI!#REF!,IF(#REF!="ZERO",0))))),"")</f>
        <v>#REF!</v>
      </c>
      <c r="H852" s="139" t="e">
        <f t="shared" ca="1" si="40"/>
        <v>#REF!</v>
      </c>
      <c r="I852" s="137" t="e">
        <f t="shared" ca="1" si="41"/>
        <v>#REF!</v>
      </c>
    </row>
    <row r="853" spans="1:9" hidden="1" x14ac:dyDescent="0.25">
      <c r="A853" s="114" t="s">
        <v>2874</v>
      </c>
      <c r="B853" s="115" t="s">
        <v>2875</v>
      </c>
      <c r="C853" s="116" t="s">
        <v>94</v>
      </c>
      <c r="D853" s="116">
        <v>0</v>
      </c>
      <c r="E853" s="136">
        <f ca="1">OFFSET(INDEX(Composições!A:J,MATCH(Orçamentária!A853,Composições!A:A,0),8),2,0)</f>
        <v>27.637875000000001</v>
      </c>
      <c r="F853" s="137">
        <f t="shared" ca="1" si="39"/>
        <v>0</v>
      </c>
      <c r="G853" s="138" t="e">
        <f>IF(A853&lt;&gt;"",IF(AND(#REF!="Padrão",$H$4=#REF!),BDI!$B$17,IF(AND(#REF!="Padrão",$H$4=#REF!),BDI!#REF!,IF(AND(#REF!="Diferenciado",$H$4=#REF!),BDI!$E$17,IF(AND(#REF!="Diferenciado",$H$4=#REF!),BDI!#REF!,IF(#REF!="ZERO",0))))),"")</f>
        <v>#REF!</v>
      </c>
      <c r="H853" s="139" t="e">
        <f t="shared" ca="1" si="40"/>
        <v>#REF!</v>
      </c>
      <c r="I853" s="137" t="e">
        <f t="shared" ca="1" si="41"/>
        <v>#REF!</v>
      </c>
    </row>
    <row r="854" spans="1:9" hidden="1" x14ac:dyDescent="0.25">
      <c r="A854" s="114" t="s">
        <v>857</v>
      </c>
      <c r="B854" s="115" t="s">
        <v>2876</v>
      </c>
      <c r="C854" s="116" t="s">
        <v>96</v>
      </c>
      <c r="D854" s="116">
        <v>0</v>
      </c>
      <c r="E854" s="136">
        <f ca="1">OFFSET(INDEX(Composições!A:J,MATCH(Orçamentária!A854,Composições!A:A,0),8),2,0)</f>
        <v>199.46674999999999</v>
      </c>
      <c r="F854" s="137">
        <f t="shared" ca="1" si="39"/>
        <v>0</v>
      </c>
      <c r="G854" s="138" t="e">
        <f>IF(A854&lt;&gt;"",IF(AND(#REF!="Padrão",$H$4=#REF!),BDI!$B$17,IF(AND(#REF!="Padrão",$H$4=#REF!),BDI!#REF!,IF(AND(#REF!="Diferenciado",$H$4=#REF!),BDI!$E$17,IF(AND(#REF!="Diferenciado",$H$4=#REF!),BDI!#REF!,IF(#REF!="ZERO",0))))),"")</f>
        <v>#REF!</v>
      </c>
      <c r="H854" s="139" t="e">
        <f t="shared" ca="1" si="40"/>
        <v>#REF!</v>
      </c>
      <c r="I854" s="137" t="e">
        <f t="shared" ca="1" si="41"/>
        <v>#REF!</v>
      </c>
    </row>
    <row r="855" spans="1:9" hidden="1" x14ac:dyDescent="0.25">
      <c r="A855" s="114" t="s">
        <v>859</v>
      </c>
      <c r="B855" s="115" t="s">
        <v>2877</v>
      </c>
      <c r="C855" s="116" t="s">
        <v>20</v>
      </c>
      <c r="D855" s="116">
        <v>0</v>
      </c>
      <c r="E855" s="136">
        <f ca="1">OFFSET(INDEX(Composições!A:J,MATCH(Orçamentária!A855,Composições!A:A,0),8),2,0)</f>
        <v>4.03085</v>
      </c>
      <c r="F855" s="137">
        <f t="shared" ca="1" si="39"/>
        <v>0</v>
      </c>
      <c r="G855" s="138" t="e">
        <f>IF(A855&lt;&gt;"",IF(AND(#REF!="Padrão",$H$4=#REF!),BDI!$B$17,IF(AND(#REF!="Padrão",$H$4=#REF!),BDI!#REF!,IF(AND(#REF!="Diferenciado",$H$4=#REF!),BDI!$E$17,IF(AND(#REF!="Diferenciado",$H$4=#REF!),BDI!#REF!,IF(#REF!="ZERO",0))))),"")</f>
        <v>#REF!</v>
      </c>
      <c r="H855" s="139" t="e">
        <f t="shared" ca="1" si="40"/>
        <v>#REF!</v>
      </c>
      <c r="I855" s="137" t="e">
        <f t="shared" ca="1" si="41"/>
        <v>#REF!</v>
      </c>
    </row>
    <row r="856" spans="1:9" hidden="1" x14ac:dyDescent="0.25">
      <c r="A856" s="114" t="s">
        <v>861</v>
      </c>
      <c r="B856" s="115" t="s">
        <v>2878</v>
      </c>
      <c r="C856" s="116" t="s">
        <v>20</v>
      </c>
      <c r="D856" s="116">
        <v>0</v>
      </c>
      <c r="E856" s="136">
        <f ca="1">OFFSET(INDEX(Composições!A:J,MATCH(Orçamentária!A856,Composições!A:A,0),8),2,0)</f>
        <v>7.1117000000000008</v>
      </c>
      <c r="F856" s="137">
        <f t="shared" ca="1" si="39"/>
        <v>0</v>
      </c>
      <c r="G856" s="138" t="e">
        <f>IF(A856&lt;&gt;"",IF(AND(#REF!="Padrão",$H$4=#REF!),BDI!$B$17,IF(AND(#REF!="Padrão",$H$4=#REF!),BDI!#REF!,IF(AND(#REF!="Diferenciado",$H$4=#REF!),BDI!$E$17,IF(AND(#REF!="Diferenciado",$H$4=#REF!),BDI!#REF!,IF(#REF!="ZERO",0))))),"")</f>
        <v>#REF!</v>
      </c>
      <c r="H856" s="139" t="e">
        <f t="shared" ca="1" si="40"/>
        <v>#REF!</v>
      </c>
      <c r="I856" s="137" t="e">
        <f t="shared" ca="1" si="41"/>
        <v>#REF!</v>
      </c>
    </row>
    <row r="857" spans="1:9" hidden="1" x14ac:dyDescent="0.25">
      <c r="A857" s="114" t="s">
        <v>863</v>
      </c>
      <c r="B857" s="115" t="s">
        <v>2879</v>
      </c>
      <c r="C857" s="116" t="s">
        <v>20</v>
      </c>
      <c r="D857" s="116">
        <v>0</v>
      </c>
      <c r="E857" s="136">
        <f ca="1">OFFSET(INDEX(Composições!A:J,MATCH(Orçamentária!A857,Composições!A:A,0),8),2,0)</f>
        <v>4.03085</v>
      </c>
      <c r="F857" s="137">
        <f t="shared" ca="1" si="39"/>
        <v>0</v>
      </c>
      <c r="G857" s="138" t="e">
        <f>IF(A857&lt;&gt;"",IF(AND(#REF!="Padrão",$H$4=#REF!),BDI!$B$17,IF(AND(#REF!="Padrão",$H$4=#REF!),BDI!#REF!,IF(AND(#REF!="Diferenciado",$H$4=#REF!),BDI!$E$17,IF(AND(#REF!="Diferenciado",$H$4=#REF!),BDI!#REF!,IF(#REF!="ZERO",0))))),"")</f>
        <v>#REF!</v>
      </c>
      <c r="H857" s="139" t="e">
        <f t="shared" ca="1" si="40"/>
        <v>#REF!</v>
      </c>
      <c r="I857" s="137" t="e">
        <f t="shared" ca="1" si="41"/>
        <v>#REF!</v>
      </c>
    </row>
    <row r="858" spans="1:9" hidden="1" x14ac:dyDescent="0.25">
      <c r="A858" s="114" t="s">
        <v>865</v>
      </c>
      <c r="B858" s="115" t="s">
        <v>2880</v>
      </c>
      <c r="C858" s="116" t="s">
        <v>20</v>
      </c>
      <c r="D858" s="116">
        <v>0</v>
      </c>
      <c r="E858" s="136">
        <f ca="1">OFFSET(INDEX(Composições!A:J,MATCH(Orçamentária!A858,Composições!A:A,0),8),2,0)</f>
        <v>7.1117000000000008</v>
      </c>
      <c r="F858" s="137">
        <f t="shared" ca="1" si="39"/>
        <v>0</v>
      </c>
      <c r="G858" s="138" t="e">
        <f>IF(A858&lt;&gt;"",IF(AND(#REF!="Padrão",$H$4=#REF!),BDI!$B$17,IF(AND(#REF!="Padrão",$H$4=#REF!),BDI!#REF!,IF(AND(#REF!="Diferenciado",$H$4=#REF!),BDI!$E$17,IF(AND(#REF!="Diferenciado",$H$4=#REF!),BDI!#REF!,IF(#REF!="ZERO",0))))),"")</f>
        <v>#REF!</v>
      </c>
      <c r="H858" s="139" t="e">
        <f t="shared" ca="1" si="40"/>
        <v>#REF!</v>
      </c>
      <c r="I858" s="137" t="e">
        <f t="shared" ca="1" si="41"/>
        <v>#REF!</v>
      </c>
    </row>
    <row r="859" spans="1:9" hidden="1" x14ac:dyDescent="0.25">
      <c r="A859" s="114" t="s">
        <v>868</v>
      </c>
      <c r="B859" s="115" t="s">
        <v>2881</v>
      </c>
      <c r="C859" s="116" t="s">
        <v>20</v>
      </c>
      <c r="D859" s="116">
        <v>0</v>
      </c>
      <c r="E859" s="136">
        <f ca="1">OFFSET(INDEX(Composições!A:J,MATCH(Orçamentária!A859,Composições!A:A,0),8),2,0)</f>
        <v>4.03085</v>
      </c>
      <c r="F859" s="137">
        <f t="shared" ca="1" si="39"/>
        <v>0</v>
      </c>
      <c r="G859" s="138" t="e">
        <f>IF(A859&lt;&gt;"",IF(AND(#REF!="Padrão",$H$4=#REF!),BDI!$B$17,IF(AND(#REF!="Padrão",$H$4=#REF!),BDI!#REF!,IF(AND(#REF!="Diferenciado",$H$4=#REF!),BDI!$E$17,IF(AND(#REF!="Diferenciado",$H$4=#REF!),BDI!#REF!,IF(#REF!="ZERO",0))))),"")</f>
        <v>#REF!</v>
      </c>
      <c r="H859" s="139" t="e">
        <f t="shared" ca="1" si="40"/>
        <v>#REF!</v>
      </c>
      <c r="I859" s="137" t="e">
        <f t="shared" ca="1" si="41"/>
        <v>#REF!</v>
      </c>
    </row>
    <row r="860" spans="1:9" hidden="1" x14ac:dyDescent="0.25">
      <c r="A860" s="114" t="s">
        <v>870</v>
      </c>
      <c r="B860" s="115" t="s">
        <v>2882</v>
      </c>
      <c r="C860" s="116" t="s">
        <v>20</v>
      </c>
      <c r="D860" s="116">
        <v>0</v>
      </c>
      <c r="E860" s="136">
        <f ca="1">OFFSET(INDEX(Composições!A:J,MATCH(Orçamentária!A860,Composições!A:A,0),8),2,0)</f>
        <v>8.2156000000000002</v>
      </c>
      <c r="F860" s="137">
        <f t="shared" ca="1" si="39"/>
        <v>0</v>
      </c>
      <c r="G860" s="138" t="e">
        <f>IF(A860&lt;&gt;"",IF(AND(#REF!="Padrão",$H$4=#REF!),BDI!$B$17,IF(AND(#REF!="Padrão",$H$4=#REF!),BDI!#REF!,IF(AND(#REF!="Diferenciado",$H$4=#REF!),BDI!$E$17,IF(AND(#REF!="Diferenciado",$H$4=#REF!),BDI!#REF!,IF(#REF!="ZERO",0))))),"")</f>
        <v>#REF!</v>
      </c>
      <c r="H860" s="139" t="e">
        <f t="shared" ca="1" si="40"/>
        <v>#REF!</v>
      </c>
      <c r="I860" s="137" t="e">
        <f t="shared" ca="1" si="41"/>
        <v>#REF!</v>
      </c>
    </row>
    <row r="861" spans="1:9" hidden="1" x14ac:dyDescent="0.25">
      <c r="A861" s="114" t="s">
        <v>872</v>
      </c>
      <c r="B861" s="115" t="s">
        <v>2883</v>
      </c>
      <c r="C861" s="116" t="s">
        <v>20</v>
      </c>
      <c r="D861" s="116">
        <v>0</v>
      </c>
      <c r="E861" s="136">
        <f ca="1">OFFSET(INDEX(Composições!A:J,MATCH(Orçamentária!A861,Composições!A:A,0),8),2,0)</f>
        <v>8.2156000000000002</v>
      </c>
      <c r="F861" s="137">
        <f t="shared" ca="1" si="39"/>
        <v>0</v>
      </c>
      <c r="G861" s="138" t="e">
        <f>IF(A861&lt;&gt;"",IF(AND(#REF!="Padrão",$H$4=#REF!),BDI!$B$17,IF(AND(#REF!="Padrão",$H$4=#REF!),BDI!#REF!,IF(AND(#REF!="Diferenciado",$H$4=#REF!),BDI!$E$17,IF(AND(#REF!="Diferenciado",$H$4=#REF!),BDI!#REF!,IF(#REF!="ZERO",0))))),"")</f>
        <v>#REF!</v>
      </c>
      <c r="H861" s="139" t="e">
        <f t="shared" ca="1" si="40"/>
        <v>#REF!</v>
      </c>
      <c r="I861" s="137" t="e">
        <f t="shared" ca="1" si="41"/>
        <v>#REF!</v>
      </c>
    </row>
    <row r="862" spans="1:9" hidden="1" x14ac:dyDescent="0.25">
      <c r="A862" s="114" t="s">
        <v>874</v>
      </c>
      <c r="B862" s="115" t="s">
        <v>2884</v>
      </c>
      <c r="C862" s="116" t="s">
        <v>20</v>
      </c>
      <c r="D862" s="116">
        <v>0</v>
      </c>
      <c r="E862" s="136">
        <f ca="1">OFFSET(INDEX(Composições!A:J,MATCH(Orçamentária!A862,Composições!A:A,0),8),2,0)</f>
        <v>8.2156000000000002</v>
      </c>
      <c r="F862" s="137">
        <f t="shared" ca="1" si="39"/>
        <v>0</v>
      </c>
      <c r="G862" s="138" t="e">
        <f>IF(A862&lt;&gt;"",IF(AND(#REF!="Padrão",$H$4=#REF!),BDI!$B$17,IF(AND(#REF!="Padrão",$H$4=#REF!),BDI!#REF!,IF(AND(#REF!="Diferenciado",$H$4=#REF!),BDI!$E$17,IF(AND(#REF!="Diferenciado",$H$4=#REF!),BDI!#REF!,IF(#REF!="ZERO",0))))),"")</f>
        <v>#REF!</v>
      </c>
      <c r="H862" s="139" t="e">
        <f t="shared" ca="1" si="40"/>
        <v>#REF!</v>
      </c>
      <c r="I862" s="137" t="e">
        <f t="shared" ca="1" si="41"/>
        <v>#REF!</v>
      </c>
    </row>
    <row r="863" spans="1:9" hidden="1" x14ac:dyDescent="0.25">
      <c r="A863" s="114" t="s">
        <v>876</v>
      </c>
      <c r="B863" s="115" t="s">
        <v>2885</v>
      </c>
      <c r="C863" s="116" t="s">
        <v>20</v>
      </c>
      <c r="D863" s="116">
        <v>0</v>
      </c>
      <c r="E863" s="136">
        <f ca="1">OFFSET(INDEX(Composições!A:J,MATCH(Orçamentária!A863,Composições!A:A,0),8),2,0)</f>
        <v>5.1347500000000004</v>
      </c>
      <c r="F863" s="137">
        <f t="shared" ca="1" si="39"/>
        <v>0</v>
      </c>
      <c r="G863" s="138" t="e">
        <f>IF(A863&lt;&gt;"",IF(AND(#REF!="Padrão",$H$4=#REF!),BDI!$B$17,IF(AND(#REF!="Padrão",$H$4=#REF!),BDI!#REF!,IF(AND(#REF!="Diferenciado",$H$4=#REF!),BDI!$E$17,IF(AND(#REF!="Diferenciado",$H$4=#REF!),BDI!#REF!,IF(#REF!="ZERO",0))))),"")</f>
        <v>#REF!</v>
      </c>
      <c r="H863" s="139" t="e">
        <f t="shared" ca="1" si="40"/>
        <v>#REF!</v>
      </c>
      <c r="I863" s="137" t="e">
        <f t="shared" ca="1" si="41"/>
        <v>#REF!</v>
      </c>
    </row>
    <row r="864" spans="1:9" hidden="1" x14ac:dyDescent="0.25">
      <c r="A864" s="114" t="s">
        <v>878</v>
      </c>
      <c r="B864" s="115" t="s">
        <v>2886</v>
      </c>
      <c r="C864" s="116" t="s">
        <v>20</v>
      </c>
      <c r="D864" s="116">
        <v>0</v>
      </c>
      <c r="E864" s="136">
        <f ca="1">OFFSET(INDEX(Composições!A:J,MATCH(Orçamentária!A864,Composições!A:A,0),8),2,0)</f>
        <v>5.1347500000000004</v>
      </c>
      <c r="F864" s="137">
        <f t="shared" ca="1" si="39"/>
        <v>0</v>
      </c>
      <c r="G864" s="138" t="e">
        <f>IF(A864&lt;&gt;"",IF(AND(#REF!="Padrão",$H$4=#REF!),BDI!$B$17,IF(AND(#REF!="Padrão",$H$4=#REF!),BDI!#REF!,IF(AND(#REF!="Diferenciado",$H$4=#REF!),BDI!$E$17,IF(AND(#REF!="Diferenciado",$H$4=#REF!),BDI!#REF!,IF(#REF!="ZERO",0))))),"")</f>
        <v>#REF!</v>
      </c>
      <c r="H864" s="139" t="e">
        <f t="shared" ca="1" si="40"/>
        <v>#REF!</v>
      </c>
      <c r="I864" s="137" t="e">
        <f t="shared" ca="1" si="41"/>
        <v>#REF!</v>
      </c>
    </row>
    <row r="865" spans="1:9" hidden="1" x14ac:dyDescent="0.25">
      <c r="A865" s="114" t="s">
        <v>880</v>
      </c>
      <c r="B865" s="115" t="s">
        <v>2887</v>
      </c>
      <c r="C865" s="116" t="s">
        <v>20</v>
      </c>
      <c r="D865" s="116">
        <v>0</v>
      </c>
      <c r="E865" s="136">
        <f ca="1">OFFSET(INDEX(Composições!A:J,MATCH(Orçamentária!A865,Composições!A:A,0),8),2,0)</f>
        <v>5.1347500000000004</v>
      </c>
      <c r="F865" s="137">
        <f t="shared" ca="1" si="39"/>
        <v>0</v>
      </c>
      <c r="G865" s="138" t="e">
        <f>IF(A865&lt;&gt;"",IF(AND(#REF!="Padrão",$H$4=#REF!),BDI!$B$17,IF(AND(#REF!="Padrão",$H$4=#REF!),BDI!#REF!,IF(AND(#REF!="Diferenciado",$H$4=#REF!),BDI!$E$17,IF(AND(#REF!="Diferenciado",$H$4=#REF!),BDI!#REF!,IF(#REF!="ZERO",0))))),"")</f>
        <v>#REF!</v>
      </c>
      <c r="H865" s="139" t="e">
        <f t="shared" ca="1" si="40"/>
        <v>#REF!</v>
      </c>
      <c r="I865" s="137" t="e">
        <f t="shared" ca="1" si="41"/>
        <v>#REF!</v>
      </c>
    </row>
    <row r="866" spans="1:9" hidden="1" x14ac:dyDescent="0.25">
      <c r="A866" s="114" t="s">
        <v>882</v>
      </c>
      <c r="B866" s="115" t="s">
        <v>2888</v>
      </c>
      <c r="C866" s="116" t="s">
        <v>20</v>
      </c>
      <c r="D866" s="116">
        <v>0</v>
      </c>
      <c r="E866" s="136">
        <f ca="1">OFFSET(INDEX(Composições!A:J,MATCH(Orçamentária!A866,Composições!A:A,0),8),2,0)</f>
        <v>6.0847500000000005</v>
      </c>
      <c r="F866" s="137">
        <f t="shared" ca="1" si="39"/>
        <v>0</v>
      </c>
      <c r="G866" s="138" t="e">
        <f>IF(A866&lt;&gt;"",IF(AND(#REF!="Padrão",$H$4=#REF!),BDI!$B$17,IF(AND(#REF!="Padrão",$H$4=#REF!),BDI!#REF!,IF(AND(#REF!="Diferenciado",$H$4=#REF!),BDI!$E$17,IF(AND(#REF!="Diferenciado",$H$4=#REF!),BDI!#REF!,IF(#REF!="ZERO",0))))),"")</f>
        <v>#REF!</v>
      </c>
      <c r="H866" s="139" t="e">
        <f t="shared" ca="1" si="40"/>
        <v>#REF!</v>
      </c>
      <c r="I866" s="137" t="e">
        <f t="shared" ca="1" si="41"/>
        <v>#REF!</v>
      </c>
    </row>
    <row r="867" spans="1:9" hidden="1" x14ac:dyDescent="0.25">
      <c r="A867" s="114" t="s">
        <v>884</v>
      </c>
      <c r="B867" s="115" t="s">
        <v>2889</v>
      </c>
      <c r="C867" s="116" t="s">
        <v>20</v>
      </c>
      <c r="D867" s="116">
        <v>0</v>
      </c>
      <c r="E867" s="136">
        <f ca="1">OFFSET(INDEX(Composições!A:J,MATCH(Orçamentária!A867,Composições!A:A,0),8),2,0)</f>
        <v>43.031124000000005</v>
      </c>
      <c r="F867" s="137">
        <f t="shared" ca="1" si="39"/>
        <v>0</v>
      </c>
      <c r="G867" s="138" t="e">
        <f>IF(A867&lt;&gt;"",IF(AND(#REF!="Padrão",$H$4=#REF!),BDI!$B$17,IF(AND(#REF!="Padrão",$H$4=#REF!),BDI!#REF!,IF(AND(#REF!="Diferenciado",$H$4=#REF!),BDI!$E$17,IF(AND(#REF!="Diferenciado",$H$4=#REF!),BDI!#REF!,IF(#REF!="ZERO",0))))),"")</f>
        <v>#REF!</v>
      </c>
      <c r="H867" s="139" t="e">
        <f t="shared" ca="1" si="40"/>
        <v>#REF!</v>
      </c>
      <c r="I867" s="137" t="e">
        <f t="shared" ca="1" si="41"/>
        <v>#REF!</v>
      </c>
    </row>
    <row r="868" spans="1:9" hidden="1" x14ac:dyDescent="0.25">
      <c r="A868" s="114" t="s">
        <v>886</v>
      </c>
      <c r="B868" s="115" t="s">
        <v>2890</v>
      </c>
      <c r="C868" s="116" t="s">
        <v>20</v>
      </c>
      <c r="D868" s="116">
        <v>0</v>
      </c>
      <c r="E868" s="136">
        <f ca="1">OFFSET(INDEX(Composições!A:J,MATCH(Orçamentária!A868,Composições!A:A,0),8),2,0)</f>
        <v>4.1078000000000001</v>
      </c>
      <c r="F868" s="137">
        <f t="shared" ca="1" si="39"/>
        <v>0</v>
      </c>
      <c r="G868" s="138" t="e">
        <f>IF(A868&lt;&gt;"",IF(AND(#REF!="Padrão",$H$4=#REF!),BDI!$B$17,IF(AND(#REF!="Padrão",$H$4=#REF!),BDI!#REF!,IF(AND(#REF!="Diferenciado",$H$4=#REF!),BDI!$E$17,IF(AND(#REF!="Diferenciado",$H$4=#REF!),BDI!#REF!,IF(#REF!="ZERO",0))))),"")</f>
        <v>#REF!</v>
      </c>
      <c r="H868" s="139" t="e">
        <f t="shared" ca="1" si="40"/>
        <v>#REF!</v>
      </c>
      <c r="I868" s="137" t="e">
        <f t="shared" ca="1" si="41"/>
        <v>#REF!</v>
      </c>
    </row>
    <row r="869" spans="1:9" hidden="1" x14ac:dyDescent="0.25">
      <c r="A869" s="114" t="s">
        <v>888</v>
      </c>
      <c r="B869" s="115" t="s">
        <v>2891</v>
      </c>
      <c r="C869" s="116" t="s">
        <v>20</v>
      </c>
      <c r="D869" s="116">
        <v>0</v>
      </c>
      <c r="E869" s="136">
        <f ca="1">OFFSET(INDEX(Composições!A:J,MATCH(Orçamentária!A869,Composições!A:A,0),8),2,0)</f>
        <v>8.2156000000000002</v>
      </c>
      <c r="F869" s="137">
        <f t="shared" ca="1" si="39"/>
        <v>0</v>
      </c>
      <c r="G869" s="138" t="e">
        <f>IF(A869&lt;&gt;"",IF(AND(#REF!="Padrão",$H$4=#REF!),BDI!$B$17,IF(AND(#REF!="Padrão",$H$4=#REF!),BDI!#REF!,IF(AND(#REF!="Diferenciado",$H$4=#REF!),BDI!$E$17,IF(AND(#REF!="Diferenciado",$H$4=#REF!),BDI!#REF!,IF(#REF!="ZERO",0))))),"")</f>
        <v>#REF!</v>
      </c>
      <c r="H869" s="139" t="e">
        <f t="shared" ca="1" si="40"/>
        <v>#REF!</v>
      </c>
      <c r="I869" s="137" t="e">
        <f t="shared" ca="1" si="41"/>
        <v>#REF!</v>
      </c>
    </row>
    <row r="870" spans="1:9" hidden="1" x14ac:dyDescent="0.25">
      <c r="A870" s="114" t="s">
        <v>890</v>
      </c>
      <c r="B870" s="115" t="s">
        <v>2892</v>
      </c>
      <c r="C870" s="116" t="s">
        <v>20</v>
      </c>
      <c r="D870" s="116">
        <v>0</v>
      </c>
      <c r="E870" s="136">
        <f ca="1">OFFSET(INDEX(Composições!A:J,MATCH(Orçamentária!A870,Composições!A:A,0),8),2,0)</f>
        <v>7.1117000000000008</v>
      </c>
      <c r="F870" s="137">
        <f t="shared" ca="1" si="39"/>
        <v>0</v>
      </c>
      <c r="G870" s="138" t="e">
        <f>IF(A870&lt;&gt;"",IF(AND(#REF!="Padrão",$H$4=#REF!),BDI!$B$17,IF(AND(#REF!="Padrão",$H$4=#REF!),BDI!#REF!,IF(AND(#REF!="Diferenciado",$H$4=#REF!),BDI!$E$17,IF(AND(#REF!="Diferenciado",$H$4=#REF!),BDI!#REF!,IF(#REF!="ZERO",0))))),"")</f>
        <v>#REF!</v>
      </c>
      <c r="H870" s="139" t="e">
        <f t="shared" ca="1" si="40"/>
        <v>#REF!</v>
      </c>
      <c r="I870" s="137" t="e">
        <f t="shared" ca="1" si="41"/>
        <v>#REF!</v>
      </c>
    </row>
    <row r="871" spans="1:9" hidden="1" x14ac:dyDescent="0.25">
      <c r="A871" s="114" t="s">
        <v>892</v>
      </c>
      <c r="B871" s="115" t="s">
        <v>2893</v>
      </c>
      <c r="C871" s="116" t="s">
        <v>94</v>
      </c>
      <c r="D871" s="116">
        <v>0</v>
      </c>
      <c r="E871" s="136">
        <f ca="1">OFFSET(INDEX(Composições!A:J,MATCH(Orçamentária!A871,Composições!A:A,0),8),2,0)</f>
        <v>10.972215</v>
      </c>
      <c r="F871" s="137">
        <f t="shared" ca="1" si="39"/>
        <v>0</v>
      </c>
      <c r="G871" s="138" t="e">
        <f>IF(A871&lt;&gt;"",IF(AND(#REF!="Padrão",$H$4=#REF!),BDI!$B$17,IF(AND(#REF!="Padrão",$H$4=#REF!),BDI!#REF!,IF(AND(#REF!="Diferenciado",$H$4=#REF!),BDI!$E$17,IF(AND(#REF!="Diferenciado",$H$4=#REF!),BDI!#REF!,IF(#REF!="ZERO",0))))),"")</f>
        <v>#REF!</v>
      </c>
      <c r="H871" s="139" t="e">
        <f t="shared" ca="1" si="40"/>
        <v>#REF!</v>
      </c>
      <c r="I871" s="137" t="e">
        <f t="shared" ca="1" si="41"/>
        <v>#REF!</v>
      </c>
    </row>
    <row r="872" spans="1:9" hidden="1" x14ac:dyDescent="0.25">
      <c r="A872" s="114" t="s">
        <v>896</v>
      </c>
      <c r="B872" s="115" t="s">
        <v>2894</v>
      </c>
      <c r="C872" s="116" t="s">
        <v>94</v>
      </c>
      <c r="D872" s="116">
        <v>0</v>
      </c>
      <c r="E872" s="136">
        <f ca="1">OFFSET(INDEX(Composições!A:J,MATCH(Orçamentária!A872,Composições!A:A,0),8),2,0)</f>
        <v>34.089030500000007</v>
      </c>
      <c r="F872" s="137">
        <f t="shared" ca="1" si="39"/>
        <v>0</v>
      </c>
      <c r="G872" s="138" t="e">
        <f>IF(A872&lt;&gt;"",IF(AND(#REF!="Padrão",$H$4=#REF!),BDI!$B$17,IF(AND(#REF!="Padrão",$H$4=#REF!),BDI!#REF!,IF(AND(#REF!="Diferenciado",$H$4=#REF!),BDI!$E$17,IF(AND(#REF!="Diferenciado",$H$4=#REF!),BDI!#REF!,IF(#REF!="ZERO",0))))),"")</f>
        <v>#REF!</v>
      </c>
      <c r="H872" s="139" t="e">
        <f t="shared" ca="1" si="40"/>
        <v>#REF!</v>
      </c>
      <c r="I872" s="137" t="e">
        <f t="shared" ca="1" si="41"/>
        <v>#REF!</v>
      </c>
    </row>
    <row r="873" spans="1:9" hidden="1" x14ac:dyDescent="0.25">
      <c r="A873" s="114" t="s">
        <v>899</v>
      </c>
      <c r="B873" s="115" t="s">
        <v>2895</v>
      </c>
      <c r="C873" s="116" t="s">
        <v>94</v>
      </c>
      <c r="D873" s="116">
        <v>0</v>
      </c>
      <c r="E873" s="136">
        <f ca="1">OFFSET(INDEX(Composições!A:J,MATCH(Orçamentária!A873,Composições!A:A,0),8),2,0)</f>
        <v>14.259908500000002</v>
      </c>
      <c r="F873" s="137">
        <f t="shared" ca="1" si="39"/>
        <v>0</v>
      </c>
      <c r="G873" s="138" t="e">
        <f>IF(A873&lt;&gt;"",IF(AND(#REF!="Padrão",$H$4=#REF!),BDI!$B$17,IF(AND(#REF!="Padrão",$H$4=#REF!),BDI!#REF!,IF(AND(#REF!="Diferenciado",$H$4=#REF!),BDI!$E$17,IF(AND(#REF!="Diferenciado",$H$4=#REF!),BDI!#REF!,IF(#REF!="ZERO",0))))),"")</f>
        <v>#REF!</v>
      </c>
      <c r="H873" s="139" t="e">
        <f t="shared" ca="1" si="40"/>
        <v>#REF!</v>
      </c>
      <c r="I873" s="137" t="e">
        <f t="shared" ca="1" si="41"/>
        <v>#REF!</v>
      </c>
    </row>
    <row r="874" spans="1:9" hidden="1" x14ac:dyDescent="0.25">
      <c r="A874" s="114" t="s">
        <v>901</v>
      </c>
      <c r="B874" s="115" t="s">
        <v>2896</v>
      </c>
      <c r="C874" s="116" t="s">
        <v>94</v>
      </c>
      <c r="D874" s="116">
        <v>0</v>
      </c>
      <c r="E874" s="136">
        <f ca="1">OFFSET(INDEX(Composições!A:J,MATCH(Orçamentária!A874,Composições!A:A,0),8),2,0)</f>
        <v>22.4556535</v>
      </c>
      <c r="F874" s="137">
        <f t="shared" ca="1" si="39"/>
        <v>0</v>
      </c>
      <c r="G874" s="138" t="e">
        <f>IF(A874&lt;&gt;"",IF(AND(#REF!="Padrão",$H$4=#REF!),BDI!$B$17,IF(AND(#REF!="Padrão",$H$4=#REF!),BDI!#REF!,IF(AND(#REF!="Diferenciado",$H$4=#REF!),BDI!$E$17,IF(AND(#REF!="Diferenciado",$H$4=#REF!),BDI!#REF!,IF(#REF!="ZERO",0))))),"")</f>
        <v>#REF!</v>
      </c>
      <c r="H874" s="139" t="e">
        <f t="shared" ca="1" si="40"/>
        <v>#REF!</v>
      </c>
      <c r="I874" s="137" t="e">
        <f t="shared" ca="1" si="41"/>
        <v>#REF!</v>
      </c>
    </row>
    <row r="875" spans="1:9" hidden="1" x14ac:dyDescent="0.25">
      <c r="A875" s="114" t="s">
        <v>902</v>
      </c>
      <c r="B875" s="115" t="s">
        <v>2897</v>
      </c>
      <c r="C875" s="116" t="s">
        <v>94</v>
      </c>
      <c r="D875" s="116">
        <v>0</v>
      </c>
      <c r="E875" s="136">
        <f ca="1">OFFSET(INDEX(Composições!A:J,MATCH(Orçamentária!A875,Composições!A:A,0),8),2,0)</f>
        <v>7.0549850000000003</v>
      </c>
      <c r="F875" s="137">
        <f t="shared" ca="1" si="39"/>
        <v>0</v>
      </c>
      <c r="G875" s="138" t="e">
        <f>IF(A875&lt;&gt;"",IF(AND(#REF!="Padrão",$H$4=#REF!),BDI!$B$17,IF(AND(#REF!="Padrão",$H$4=#REF!),BDI!#REF!,IF(AND(#REF!="Diferenciado",$H$4=#REF!),BDI!$E$17,IF(AND(#REF!="Diferenciado",$H$4=#REF!),BDI!#REF!,IF(#REF!="ZERO",0))))),"")</f>
        <v>#REF!</v>
      </c>
      <c r="H875" s="139" t="e">
        <f t="shared" ca="1" si="40"/>
        <v>#REF!</v>
      </c>
      <c r="I875" s="137" t="e">
        <f t="shared" ca="1" si="41"/>
        <v>#REF!</v>
      </c>
    </row>
    <row r="876" spans="1:9" hidden="1" x14ac:dyDescent="0.25">
      <c r="A876" s="114" t="s">
        <v>904</v>
      </c>
      <c r="B876" s="115" t="s">
        <v>2898</v>
      </c>
      <c r="C876" s="116" t="s">
        <v>20</v>
      </c>
      <c r="D876" s="116">
        <v>0</v>
      </c>
      <c r="E876" s="136">
        <f ca="1">OFFSET(INDEX(Composições!A:J,MATCH(Orçamentária!A876,Composições!A:A,0),8),2,0)</f>
        <v>7.1117000000000008</v>
      </c>
      <c r="F876" s="137">
        <f t="shared" ca="1" si="39"/>
        <v>0</v>
      </c>
      <c r="G876" s="138" t="e">
        <f>IF(A876&lt;&gt;"",IF(AND(#REF!="Padrão",$H$4=#REF!),BDI!$B$17,IF(AND(#REF!="Padrão",$H$4=#REF!),BDI!#REF!,IF(AND(#REF!="Diferenciado",$H$4=#REF!),BDI!$E$17,IF(AND(#REF!="Diferenciado",$H$4=#REF!),BDI!#REF!,IF(#REF!="ZERO",0))))),"")</f>
        <v>#REF!</v>
      </c>
      <c r="H876" s="139" t="e">
        <f t="shared" ca="1" si="40"/>
        <v>#REF!</v>
      </c>
      <c r="I876" s="137" t="e">
        <f t="shared" ca="1" si="41"/>
        <v>#REF!</v>
      </c>
    </row>
    <row r="877" spans="1:9" hidden="1" x14ac:dyDescent="0.25">
      <c r="A877" s="114" t="s">
        <v>906</v>
      </c>
      <c r="B877" s="115" t="s">
        <v>2899</v>
      </c>
      <c r="C877" s="116" t="s">
        <v>94</v>
      </c>
      <c r="D877" s="116">
        <v>0</v>
      </c>
      <c r="E877" s="136">
        <f ca="1">OFFSET(INDEX(Composições!A:J,MATCH(Orçamentária!A877,Composições!A:A,0),8),2,0)</f>
        <v>6.1617000000000006</v>
      </c>
      <c r="F877" s="137">
        <f t="shared" ca="1" si="39"/>
        <v>0</v>
      </c>
      <c r="G877" s="138" t="e">
        <f>IF(A877&lt;&gt;"",IF(AND(#REF!="Padrão",$H$4=#REF!),BDI!$B$17,IF(AND(#REF!="Padrão",$H$4=#REF!),BDI!#REF!,IF(AND(#REF!="Diferenciado",$H$4=#REF!),BDI!$E$17,IF(AND(#REF!="Diferenciado",$H$4=#REF!),BDI!#REF!,IF(#REF!="ZERO",0))))),"")</f>
        <v>#REF!</v>
      </c>
      <c r="H877" s="139" t="e">
        <f t="shared" ca="1" si="40"/>
        <v>#REF!</v>
      </c>
      <c r="I877" s="137" t="e">
        <f t="shared" ca="1" si="41"/>
        <v>#REF!</v>
      </c>
    </row>
    <row r="878" spans="1:9" hidden="1" x14ac:dyDescent="0.25">
      <c r="A878" s="114" t="s">
        <v>908</v>
      </c>
      <c r="B878" s="115" t="s">
        <v>2900</v>
      </c>
      <c r="C878" s="116" t="s">
        <v>20</v>
      </c>
      <c r="D878" s="116">
        <v>0</v>
      </c>
      <c r="E878" s="136">
        <f ca="1">OFFSET(INDEX(Composições!A:J,MATCH(Orçamentária!A878,Composições!A:A,0),8),2,0)</f>
        <v>3.0808500000000003</v>
      </c>
      <c r="F878" s="137">
        <f t="shared" ca="1" si="39"/>
        <v>0</v>
      </c>
      <c r="G878" s="138" t="e">
        <f>IF(A878&lt;&gt;"",IF(AND(#REF!="Padrão",$H$4=#REF!),BDI!$B$17,IF(AND(#REF!="Padrão",$H$4=#REF!),BDI!#REF!,IF(AND(#REF!="Diferenciado",$H$4=#REF!),BDI!$E$17,IF(AND(#REF!="Diferenciado",$H$4=#REF!),BDI!#REF!,IF(#REF!="ZERO",0))))),"")</f>
        <v>#REF!</v>
      </c>
      <c r="H878" s="139" t="e">
        <f t="shared" ca="1" si="40"/>
        <v>#REF!</v>
      </c>
      <c r="I878" s="137" t="e">
        <f t="shared" ca="1" si="41"/>
        <v>#REF!</v>
      </c>
    </row>
    <row r="879" spans="1:9" hidden="1" x14ac:dyDescent="0.25">
      <c r="A879" s="114" t="s">
        <v>910</v>
      </c>
      <c r="B879" s="115" t="s">
        <v>2901</v>
      </c>
      <c r="C879" s="116" t="s">
        <v>20</v>
      </c>
      <c r="D879" s="116">
        <v>0</v>
      </c>
      <c r="E879" s="136">
        <f ca="1">OFFSET(INDEX(Composições!A:J,MATCH(Orçamentária!A879,Composições!A:A,0),8),2,0)</f>
        <v>3.0808500000000003</v>
      </c>
      <c r="F879" s="137">
        <f t="shared" ca="1" si="39"/>
        <v>0</v>
      </c>
      <c r="G879" s="138" t="e">
        <f>IF(A879&lt;&gt;"",IF(AND(#REF!="Padrão",$H$4=#REF!),BDI!$B$17,IF(AND(#REF!="Padrão",$H$4=#REF!),BDI!#REF!,IF(AND(#REF!="Diferenciado",$H$4=#REF!),BDI!$E$17,IF(AND(#REF!="Diferenciado",$H$4=#REF!),BDI!#REF!,IF(#REF!="ZERO",0))))),"")</f>
        <v>#REF!</v>
      </c>
      <c r="H879" s="139" t="e">
        <f t="shared" ca="1" si="40"/>
        <v>#REF!</v>
      </c>
      <c r="I879" s="137" t="e">
        <f t="shared" ca="1" si="41"/>
        <v>#REF!</v>
      </c>
    </row>
    <row r="880" spans="1:9" hidden="1" x14ac:dyDescent="0.25">
      <c r="A880" s="114" t="s">
        <v>912</v>
      </c>
      <c r="B880" s="115" t="s">
        <v>2902</v>
      </c>
      <c r="C880" s="116" t="s">
        <v>20</v>
      </c>
      <c r="D880" s="116">
        <v>0</v>
      </c>
      <c r="E880" s="136">
        <f ca="1">OFFSET(INDEX(Composições!A:J,MATCH(Orçamentária!A880,Composições!A:A,0),8),2,0)</f>
        <v>3.0038999999999998</v>
      </c>
      <c r="F880" s="137">
        <f t="shared" ca="1" si="39"/>
        <v>0</v>
      </c>
      <c r="G880" s="138" t="e">
        <f>IF(A880&lt;&gt;"",IF(AND(#REF!="Padrão",$H$4=#REF!),BDI!$B$17,IF(AND(#REF!="Padrão",$H$4=#REF!),BDI!#REF!,IF(AND(#REF!="Diferenciado",$H$4=#REF!),BDI!$E$17,IF(AND(#REF!="Diferenciado",$H$4=#REF!),BDI!#REF!,IF(#REF!="ZERO",0))))),"")</f>
        <v>#REF!</v>
      </c>
      <c r="H880" s="139" t="e">
        <f t="shared" ca="1" si="40"/>
        <v>#REF!</v>
      </c>
      <c r="I880" s="137" t="e">
        <f t="shared" ca="1" si="41"/>
        <v>#REF!</v>
      </c>
    </row>
    <row r="881" spans="1:9" hidden="1" x14ac:dyDescent="0.25">
      <c r="A881" s="114" t="s">
        <v>914</v>
      </c>
      <c r="B881" s="115" t="s">
        <v>2903</v>
      </c>
      <c r="C881" s="116" t="s">
        <v>20</v>
      </c>
      <c r="D881" s="116">
        <v>0</v>
      </c>
      <c r="E881" s="136">
        <f ca="1">OFFSET(INDEX(Composições!A:J,MATCH(Orçamentária!A881,Composições!A:A,0),8),2,0)</f>
        <v>9.1655999999999995</v>
      </c>
      <c r="F881" s="137">
        <f t="shared" ca="1" si="39"/>
        <v>0</v>
      </c>
      <c r="G881" s="138" t="e">
        <f>IF(A881&lt;&gt;"",IF(AND(#REF!="Padrão",$H$4=#REF!),BDI!$B$17,IF(AND(#REF!="Padrão",$H$4=#REF!),BDI!#REF!,IF(AND(#REF!="Diferenciado",$H$4=#REF!),BDI!$E$17,IF(AND(#REF!="Diferenciado",$H$4=#REF!),BDI!#REF!,IF(#REF!="ZERO",0))))),"")</f>
        <v>#REF!</v>
      </c>
      <c r="H881" s="139" t="e">
        <f t="shared" ca="1" si="40"/>
        <v>#REF!</v>
      </c>
      <c r="I881" s="137" t="e">
        <f t="shared" ca="1" si="41"/>
        <v>#REF!</v>
      </c>
    </row>
    <row r="882" spans="1:9" hidden="1" x14ac:dyDescent="0.25">
      <c r="A882" s="114" t="s">
        <v>916</v>
      </c>
      <c r="B882" s="115" t="s">
        <v>2904</v>
      </c>
      <c r="C882" s="116" t="s">
        <v>20</v>
      </c>
      <c r="D882" s="116">
        <v>0</v>
      </c>
      <c r="E882" s="136">
        <f ca="1">OFFSET(INDEX(Composições!A:J,MATCH(Orçamentária!A882,Composições!A:A,0),8),2,0)</f>
        <v>8.2156000000000002</v>
      </c>
      <c r="F882" s="137">
        <f t="shared" ca="1" si="39"/>
        <v>0</v>
      </c>
      <c r="G882" s="138" t="e">
        <f>IF(A882&lt;&gt;"",IF(AND(#REF!="Padrão",$H$4=#REF!),BDI!$B$17,IF(AND(#REF!="Padrão",$H$4=#REF!),BDI!#REF!,IF(AND(#REF!="Diferenciado",$H$4=#REF!),BDI!$E$17,IF(AND(#REF!="Diferenciado",$H$4=#REF!),BDI!#REF!,IF(#REF!="ZERO",0))))),"")</f>
        <v>#REF!</v>
      </c>
      <c r="H882" s="139" t="e">
        <f t="shared" ca="1" si="40"/>
        <v>#REF!</v>
      </c>
      <c r="I882" s="137" t="e">
        <f t="shared" ca="1" si="41"/>
        <v>#REF!</v>
      </c>
    </row>
    <row r="883" spans="1:9" hidden="1" x14ac:dyDescent="0.25">
      <c r="A883" s="114" t="s">
        <v>918</v>
      </c>
      <c r="B883" s="115" t="s">
        <v>2905</v>
      </c>
      <c r="C883" s="116" t="s">
        <v>20</v>
      </c>
      <c r="D883" s="116">
        <v>0</v>
      </c>
      <c r="E883" s="136">
        <f ca="1">OFFSET(INDEX(Composições!A:J,MATCH(Orçamentária!A883,Composições!A:A,0),8),2,0)</f>
        <v>7.1117000000000008</v>
      </c>
      <c r="F883" s="137">
        <f t="shared" ca="1" si="39"/>
        <v>0</v>
      </c>
      <c r="G883" s="138" t="e">
        <f>IF(A883&lt;&gt;"",IF(AND(#REF!="Padrão",$H$4=#REF!),BDI!$B$17,IF(AND(#REF!="Padrão",$H$4=#REF!),BDI!#REF!,IF(AND(#REF!="Diferenciado",$H$4=#REF!),BDI!$E$17,IF(AND(#REF!="Diferenciado",$H$4=#REF!),BDI!#REF!,IF(#REF!="ZERO",0))))),"")</f>
        <v>#REF!</v>
      </c>
      <c r="H883" s="139" t="e">
        <f t="shared" ca="1" si="40"/>
        <v>#REF!</v>
      </c>
      <c r="I883" s="137" t="e">
        <f t="shared" ca="1" si="41"/>
        <v>#REF!</v>
      </c>
    </row>
    <row r="884" spans="1:9" hidden="1" x14ac:dyDescent="0.25">
      <c r="A884" s="114" t="s">
        <v>920</v>
      </c>
      <c r="B884" s="115" t="s">
        <v>2906</v>
      </c>
      <c r="C884" s="116" t="s">
        <v>20</v>
      </c>
      <c r="D884" s="116">
        <v>0</v>
      </c>
      <c r="E884" s="136">
        <f ca="1">OFFSET(INDEX(Composições!A:J,MATCH(Orçamentária!A884,Composições!A:A,0),8),2,0)</f>
        <v>5.0578000000000003</v>
      </c>
      <c r="F884" s="137">
        <f t="shared" ca="1" si="39"/>
        <v>0</v>
      </c>
      <c r="G884" s="138" t="e">
        <f>IF(A884&lt;&gt;"",IF(AND(#REF!="Padrão",$H$4=#REF!),BDI!$B$17,IF(AND(#REF!="Padrão",$H$4=#REF!),BDI!#REF!,IF(AND(#REF!="Diferenciado",$H$4=#REF!),BDI!$E$17,IF(AND(#REF!="Diferenciado",$H$4=#REF!),BDI!#REF!,IF(#REF!="ZERO",0))))),"")</f>
        <v>#REF!</v>
      </c>
      <c r="H884" s="139" t="e">
        <f t="shared" ca="1" si="40"/>
        <v>#REF!</v>
      </c>
      <c r="I884" s="137" t="e">
        <f t="shared" ca="1" si="41"/>
        <v>#REF!</v>
      </c>
    </row>
    <row r="885" spans="1:9" hidden="1" x14ac:dyDescent="0.25">
      <c r="A885" s="114" t="s">
        <v>922</v>
      </c>
      <c r="B885" s="115" t="s">
        <v>2907</v>
      </c>
      <c r="C885" s="116" t="s">
        <v>20</v>
      </c>
      <c r="D885" s="116">
        <v>0</v>
      </c>
      <c r="E885" s="136">
        <f ca="1">OFFSET(INDEX(Composições!A:J,MATCH(Orçamentária!A885,Composições!A:A,0),8),2,0)</f>
        <v>5.0578000000000003</v>
      </c>
      <c r="F885" s="137">
        <f t="shared" ca="1" si="39"/>
        <v>0</v>
      </c>
      <c r="G885" s="138" t="e">
        <f>IF(A885&lt;&gt;"",IF(AND(#REF!="Padrão",$H$4=#REF!),BDI!$B$17,IF(AND(#REF!="Padrão",$H$4=#REF!),BDI!#REF!,IF(AND(#REF!="Diferenciado",$H$4=#REF!),BDI!$E$17,IF(AND(#REF!="Diferenciado",$H$4=#REF!),BDI!#REF!,IF(#REF!="ZERO",0))))),"")</f>
        <v>#REF!</v>
      </c>
      <c r="H885" s="139" t="e">
        <f t="shared" ca="1" si="40"/>
        <v>#REF!</v>
      </c>
      <c r="I885" s="137" t="e">
        <f t="shared" ca="1" si="41"/>
        <v>#REF!</v>
      </c>
    </row>
    <row r="886" spans="1:9" hidden="1" x14ac:dyDescent="0.25">
      <c r="A886" s="114" t="s">
        <v>924</v>
      </c>
      <c r="B886" s="115" t="s">
        <v>925</v>
      </c>
      <c r="C886" s="116" t="s">
        <v>96</v>
      </c>
      <c r="D886" s="116">
        <v>0</v>
      </c>
      <c r="E886" s="136">
        <f ca="1">OFFSET(INDEX(Composições!A:J,MATCH(Orçamentária!A886,Composições!A:A,0),8),2,0)</f>
        <v>29.150750000000002</v>
      </c>
      <c r="F886" s="137">
        <f t="shared" ca="1" si="39"/>
        <v>0</v>
      </c>
      <c r="G886" s="138" t="e">
        <f>IF(A886&lt;&gt;"",IF(AND(#REF!="Padrão",$H$4=#REF!),BDI!$B$17,IF(AND(#REF!="Padrão",$H$4=#REF!),BDI!#REF!,IF(AND(#REF!="Diferenciado",$H$4=#REF!),BDI!$E$17,IF(AND(#REF!="Diferenciado",$H$4=#REF!),BDI!#REF!,IF(#REF!="ZERO",0))))),"")</f>
        <v>#REF!</v>
      </c>
      <c r="H886" s="139" t="e">
        <f t="shared" ca="1" si="40"/>
        <v>#REF!</v>
      </c>
      <c r="I886" s="137" t="e">
        <f t="shared" ca="1" si="41"/>
        <v>#REF!</v>
      </c>
    </row>
    <row r="887" spans="1:9" hidden="1" x14ac:dyDescent="0.25">
      <c r="A887" s="114" t="s">
        <v>2908</v>
      </c>
      <c r="B887" s="115" t="s">
        <v>2909</v>
      </c>
      <c r="C887" s="116" t="s">
        <v>20</v>
      </c>
      <c r="D887" s="116">
        <v>0</v>
      </c>
      <c r="E887" s="136" t="s">
        <v>572</v>
      </c>
      <c r="F887" s="137" t="str">
        <f t="shared" si="39"/>
        <v/>
      </c>
      <c r="G887" s="138" t="e">
        <f>IF(A887&lt;&gt;"",IF(AND(#REF!="Padrão",$H$4=#REF!),BDI!$B$17,IF(AND(#REF!="Padrão",$H$4=#REF!),BDI!#REF!,IF(AND(#REF!="Diferenciado",$H$4=#REF!),BDI!$E$17,IF(AND(#REF!="Diferenciado",$H$4=#REF!),BDI!#REF!,IF(#REF!="ZERO",0))))),"")</f>
        <v>#REF!</v>
      </c>
      <c r="H887" s="139" t="str">
        <f t="shared" si="40"/>
        <v/>
      </c>
      <c r="I887" s="137" t="str">
        <f t="shared" si="41"/>
        <v/>
      </c>
    </row>
    <row r="888" spans="1:9" hidden="1" x14ac:dyDescent="0.25">
      <c r="A888" s="114" t="s">
        <v>926</v>
      </c>
      <c r="B888" s="115" t="s">
        <v>2910</v>
      </c>
      <c r="C888" s="116" t="s">
        <v>20</v>
      </c>
      <c r="D888" s="116">
        <v>0</v>
      </c>
      <c r="E888" s="136">
        <f ca="1">OFFSET(INDEX(Composições!A:J,MATCH(Orçamentária!A888,Composições!A:A,0),8),2,0)</f>
        <v>4.1078000000000001</v>
      </c>
      <c r="F888" s="137">
        <f t="shared" ca="1" si="39"/>
        <v>0</v>
      </c>
      <c r="G888" s="138" t="e">
        <f>IF(A888&lt;&gt;"",IF(AND(#REF!="Padrão",$H$4=#REF!),BDI!$B$17,IF(AND(#REF!="Padrão",$H$4=#REF!),BDI!#REF!,IF(AND(#REF!="Diferenciado",$H$4=#REF!),BDI!$E$17,IF(AND(#REF!="Diferenciado",$H$4=#REF!),BDI!#REF!,IF(#REF!="ZERO",0))))),"")</f>
        <v>#REF!</v>
      </c>
      <c r="H888" s="139" t="e">
        <f t="shared" ca="1" si="40"/>
        <v>#REF!</v>
      </c>
      <c r="I888" s="137" t="e">
        <f t="shared" ca="1" si="41"/>
        <v>#REF!</v>
      </c>
    </row>
    <row r="889" spans="1:9" hidden="1" x14ac:dyDescent="0.25">
      <c r="A889" s="114" t="s">
        <v>928</v>
      </c>
      <c r="B889" s="115" t="s">
        <v>2911</v>
      </c>
      <c r="C889" s="116" t="s">
        <v>20</v>
      </c>
      <c r="D889" s="116">
        <v>0</v>
      </c>
      <c r="E889" s="136">
        <f ca="1">OFFSET(INDEX(Composições!A:J,MATCH(Orçamentária!A889,Composições!A:A,0),8),2,0)</f>
        <v>4.1078000000000001</v>
      </c>
      <c r="F889" s="137">
        <f t="shared" ca="1" si="39"/>
        <v>0</v>
      </c>
      <c r="G889" s="138" t="e">
        <f>IF(A889&lt;&gt;"",IF(AND(#REF!="Padrão",$H$4=#REF!),BDI!$B$17,IF(AND(#REF!="Padrão",$H$4=#REF!),BDI!#REF!,IF(AND(#REF!="Diferenciado",$H$4=#REF!),BDI!$E$17,IF(AND(#REF!="Diferenciado",$H$4=#REF!),BDI!#REF!,IF(#REF!="ZERO",0))))),"")</f>
        <v>#REF!</v>
      </c>
      <c r="H889" s="139" t="e">
        <f t="shared" ca="1" si="40"/>
        <v>#REF!</v>
      </c>
      <c r="I889" s="137" t="e">
        <f t="shared" ca="1" si="41"/>
        <v>#REF!</v>
      </c>
    </row>
    <row r="890" spans="1:9" hidden="1" x14ac:dyDescent="0.25">
      <c r="A890" s="114" t="s">
        <v>930</v>
      </c>
      <c r="B890" s="115" t="s">
        <v>2912</v>
      </c>
      <c r="C890" s="116" t="s">
        <v>20</v>
      </c>
      <c r="D890" s="116">
        <v>0</v>
      </c>
      <c r="E890" s="136">
        <f ca="1">OFFSET(INDEX(Composições!A:J,MATCH(Orçamentária!A890,Composições!A:A,0),8),2,0)</f>
        <v>4.1078000000000001</v>
      </c>
      <c r="F890" s="137">
        <f t="shared" ca="1" si="39"/>
        <v>0</v>
      </c>
      <c r="G890" s="138" t="e">
        <f>IF(A890&lt;&gt;"",IF(AND(#REF!="Padrão",$H$4=#REF!),BDI!$B$17,IF(AND(#REF!="Padrão",$H$4=#REF!),BDI!#REF!,IF(AND(#REF!="Diferenciado",$H$4=#REF!),BDI!$E$17,IF(AND(#REF!="Diferenciado",$H$4=#REF!),BDI!#REF!,IF(#REF!="ZERO",0))))),"")</f>
        <v>#REF!</v>
      </c>
      <c r="H890" s="139" t="e">
        <f t="shared" ca="1" si="40"/>
        <v>#REF!</v>
      </c>
      <c r="I890" s="137" t="e">
        <f t="shared" ca="1" si="41"/>
        <v>#REF!</v>
      </c>
    </row>
    <row r="891" spans="1:9" hidden="1" x14ac:dyDescent="0.25">
      <c r="A891" s="114" t="s">
        <v>932</v>
      </c>
      <c r="B891" s="115" t="s">
        <v>2913</v>
      </c>
      <c r="C891" s="116" t="s">
        <v>20</v>
      </c>
      <c r="D891" s="116">
        <v>0</v>
      </c>
      <c r="E891" s="136">
        <f ca="1">OFFSET(INDEX(Composições!A:J,MATCH(Orçamentária!A891,Composições!A:A,0),8),2,0)</f>
        <v>30.808500000000002</v>
      </c>
      <c r="F891" s="137">
        <f t="shared" ca="1" si="39"/>
        <v>0</v>
      </c>
      <c r="G891" s="138" t="e">
        <f>IF(A891&lt;&gt;"",IF(AND(#REF!="Padrão",$H$4=#REF!),BDI!$B$17,IF(AND(#REF!="Padrão",$H$4=#REF!),BDI!#REF!,IF(AND(#REF!="Diferenciado",$H$4=#REF!),BDI!$E$17,IF(AND(#REF!="Diferenciado",$H$4=#REF!),BDI!#REF!,IF(#REF!="ZERO",0))))),"")</f>
        <v>#REF!</v>
      </c>
      <c r="H891" s="139" t="e">
        <f t="shared" ca="1" si="40"/>
        <v>#REF!</v>
      </c>
      <c r="I891" s="137" t="e">
        <f t="shared" ca="1" si="41"/>
        <v>#REF!</v>
      </c>
    </row>
    <row r="892" spans="1:9" hidden="1" x14ac:dyDescent="0.25">
      <c r="A892" s="114" t="s">
        <v>934</v>
      </c>
      <c r="B892" s="115" t="s">
        <v>2914</v>
      </c>
      <c r="C892" s="116" t="s">
        <v>20</v>
      </c>
      <c r="D892" s="116">
        <v>0</v>
      </c>
      <c r="E892" s="136">
        <f ca="1">OFFSET(INDEX(Composições!A:J,MATCH(Orçamentária!A892,Composições!A:A,0),8),2,0)</f>
        <v>30.808500000000002</v>
      </c>
      <c r="F892" s="137">
        <f t="shared" ca="1" si="39"/>
        <v>0</v>
      </c>
      <c r="G892" s="138" t="e">
        <f>IF(A892&lt;&gt;"",IF(AND(#REF!="Padrão",$H$4=#REF!),BDI!$B$17,IF(AND(#REF!="Padrão",$H$4=#REF!),BDI!#REF!,IF(AND(#REF!="Diferenciado",$H$4=#REF!),BDI!$E$17,IF(AND(#REF!="Diferenciado",$H$4=#REF!),BDI!#REF!,IF(#REF!="ZERO",0))))),"")</f>
        <v>#REF!</v>
      </c>
      <c r="H892" s="139" t="e">
        <f t="shared" ca="1" si="40"/>
        <v>#REF!</v>
      </c>
      <c r="I892" s="137" t="e">
        <f t="shared" ca="1" si="41"/>
        <v>#REF!</v>
      </c>
    </row>
    <row r="893" spans="1:9" hidden="1" x14ac:dyDescent="0.25">
      <c r="A893" s="114" t="s">
        <v>936</v>
      </c>
      <c r="B893" s="115" t="s">
        <v>2915</v>
      </c>
      <c r="C893" s="116" t="s">
        <v>20</v>
      </c>
      <c r="D893" s="116">
        <v>0</v>
      </c>
      <c r="E893" s="136">
        <f ca="1">OFFSET(INDEX(Composições!A:J,MATCH(Orçamentária!A893,Composições!A:A,0),8),2,0)</f>
        <v>20.539000000000001</v>
      </c>
      <c r="F893" s="137">
        <f t="shared" ca="1" si="39"/>
        <v>0</v>
      </c>
      <c r="G893" s="138" t="e">
        <f>IF(A893&lt;&gt;"",IF(AND(#REF!="Padrão",$H$4=#REF!),BDI!$B$17,IF(AND(#REF!="Padrão",$H$4=#REF!),BDI!#REF!,IF(AND(#REF!="Diferenciado",$H$4=#REF!),BDI!$E$17,IF(AND(#REF!="Diferenciado",$H$4=#REF!),BDI!#REF!,IF(#REF!="ZERO",0))))),"")</f>
        <v>#REF!</v>
      </c>
      <c r="H893" s="139" t="e">
        <f t="shared" ca="1" si="40"/>
        <v>#REF!</v>
      </c>
      <c r="I893" s="137" t="e">
        <f t="shared" ca="1" si="41"/>
        <v>#REF!</v>
      </c>
    </row>
    <row r="894" spans="1:9" hidden="1" x14ac:dyDescent="0.25">
      <c r="A894" s="114" t="s">
        <v>938</v>
      </c>
      <c r="B894" s="115" t="s">
        <v>2916</v>
      </c>
      <c r="C894" s="116" t="s">
        <v>20</v>
      </c>
      <c r="D894" s="116">
        <v>0</v>
      </c>
      <c r="E894" s="136">
        <f ca="1">OFFSET(INDEX(Composições!A:J,MATCH(Orçamentária!A894,Composições!A:A,0),8),2,0)</f>
        <v>2.0539000000000001</v>
      </c>
      <c r="F894" s="137">
        <f t="shared" ca="1" si="39"/>
        <v>0</v>
      </c>
      <c r="G894" s="138" t="e">
        <f>IF(A894&lt;&gt;"",IF(AND(#REF!="Padrão",$H$4=#REF!),BDI!$B$17,IF(AND(#REF!="Padrão",$H$4=#REF!),BDI!#REF!,IF(AND(#REF!="Diferenciado",$H$4=#REF!),BDI!$E$17,IF(AND(#REF!="Diferenciado",$H$4=#REF!),BDI!#REF!,IF(#REF!="ZERO",0))))),"")</f>
        <v>#REF!</v>
      </c>
      <c r="H894" s="139" t="e">
        <f t="shared" ca="1" si="40"/>
        <v>#REF!</v>
      </c>
      <c r="I894" s="137" t="e">
        <f t="shared" ca="1" si="41"/>
        <v>#REF!</v>
      </c>
    </row>
    <row r="895" spans="1:9" hidden="1" x14ac:dyDescent="0.25">
      <c r="A895" s="114" t="s">
        <v>940</v>
      </c>
      <c r="B895" s="115" t="s">
        <v>2917</v>
      </c>
      <c r="C895" s="116" t="s">
        <v>20</v>
      </c>
      <c r="D895" s="116">
        <v>0</v>
      </c>
      <c r="E895" s="136">
        <f ca="1">OFFSET(INDEX(Composições!A:J,MATCH(Orçamentária!A895,Composições!A:A,0),8),2,0)</f>
        <v>4.1078000000000001</v>
      </c>
      <c r="F895" s="137">
        <f t="shared" ca="1" si="39"/>
        <v>0</v>
      </c>
      <c r="G895" s="138" t="e">
        <f>IF(A895&lt;&gt;"",IF(AND(#REF!="Padrão",$H$4=#REF!),BDI!$B$17,IF(AND(#REF!="Padrão",$H$4=#REF!),BDI!#REF!,IF(AND(#REF!="Diferenciado",$H$4=#REF!),BDI!$E$17,IF(AND(#REF!="Diferenciado",$H$4=#REF!),BDI!#REF!,IF(#REF!="ZERO",0))))),"")</f>
        <v>#REF!</v>
      </c>
      <c r="H895" s="139" t="e">
        <f t="shared" ca="1" si="40"/>
        <v>#REF!</v>
      </c>
      <c r="I895" s="137" t="e">
        <f t="shared" ca="1" si="41"/>
        <v>#REF!</v>
      </c>
    </row>
    <row r="896" spans="1:9" hidden="1" x14ac:dyDescent="0.25">
      <c r="A896" s="114" t="s">
        <v>942</v>
      </c>
      <c r="B896" s="115" t="s">
        <v>2918</v>
      </c>
      <c r="C896" s="116" t="s">
        <v>20</v>
      </c>
      <c r="D896" s="116">
        <v>0</v>
      </c>
      <c r="E896" s="136">
        <f ca="1">OFFSET(INDEX(Composições!A:J,MATCH(Orçamentária!A896,Composições!A:A,0),8),2,0)</f>
        <v>4.1078000000000001</v>
      </c>
      <c r="F896" s="137">
        <f t="shared" ca="1" si="39"/>
        <v>0</v>
      </c>
      <c r="G896" s="138" t="e">
        <f>IF(A896&lt;&gt;"",IF(AND(#REF!="Padrão",$H$4=#REF!),BDI!$B$17,IF(AND(#REF!="Padrão",$H$4=#REF!),BDI!#REF!,IF(AND(#REF!="Diferenciado",$H$4=#REF!),BDI!$E$17,IF(AND(#REF!="Diferenciado",$H$4=#REF!),BDI!#REF!,IF(#REF!="ZERO",0))))),"")</f>
        <v>#REF!</v>
      </c>
      <c r="H896" s="139" t="e">
        <f t="shared" ca="1" si="40"/>
        <v>#REF!</v>
      </c>
      <c r="I896" s="137" t="e">
        <f t="shared" ca="1" si="41"/>
        <v>#REF!</v>
      </c>
    </row>
    <row r="897" spans="1:9" hidden="1" x14ac:dyDescent="0.25">
      <c r="A897" s="114" t="s">
        <v>944</v>
      </c>
      <c r="B897" s="115" t="s">
        <v>2919</v>
      </c>
      <c r="C897" s="116" t="s">
        <v>94</v>
      </c>
      <c r="D897" s="116">
        <v>0</v>
      </c>
      <c r="E897" s="136">
        <f ca="1">OFFSET(INDEX(Composições!A:J,MATCH(Orçamentária!A897,Composições!A:A,0),8),2,0)</f>
        <v>35.952360499999998</v>
      </c>
      <c r="F897" s="137">
        <f t="shared" ca="1" si="39"/>
        <v>0</v>
      </c>
      <c r="G897" s="138" t="e">
        <f>IF(A897&lt;&gt;"",IF(AND(#REF!="Padrão",$H$4=#REF!),BDI!$B$17,IF(AND(#REF!="Padrão",$H$4=#REF!),BDI!#REF!,IF(AND(#REF!="Diferenciado",$H$4=#REF!),BDI!$E$17,IF(AND(#REF!="Diferenciado",$H$4=#REF!),BDI!#REF!,IF(#REF!="ZERO",0))))),"")</f>
        <v>#REF!</v>
      </c>
      <c r="H897" s="139" t="e">
        <f t="shared" ca="1" si="40"/>
        <v>#REF!</v>
      </c>
      <c r="I897" s="137" t="e">
        <f t="shared" ca="1" si="41"/>
        <v>#REF!</v>
      </c>
    </row>
    <row r="898" spans="1:9" hidden="1" x14ac:dyDescent="0.25">
      <c r="A898" s="114" t="s">
        <v>946</v>
      </c>
      <c r="B898" s="115" t="s">
        <v>2920</v>
      </c>
      <c r="C898" s="116" t="s">
        <v>94</v>
      </c>
      <c r="D898" s="116">
        <v>0</v>
      </c>
      <c r="E898" s="136">
        <f ca="1">OFFSET(INDEX(Composições!A:J,MATCH(Orçamentária!A898,Composições!A:A,0),8),2,0)</f>
        <v>4.1078000000000001</v>
      </c>
      <c r="F898" s="137">
        <f t="shared" ca="1" si="39"/>
        <v>0</v>
      </c>
      <c r="G898" s="138" t="e">
        <f>IF(A898&lt;&gt;"",IF(AND(#REF!="Padrão",$H$4=#REF!),BDI!$B$17,IF(AND(#REF!="Padrão",$H$4=#REF!),BDI!#REF!,IF(AND(#REF!="Diferenciado",$H$4=#REF!),BDI!$E$17,IF(AND(#REF!="Diferenciado",$H$4=#REF!),BDI!#REF!,IF(#REF!="ZERO",0))))),"")</f>
        <v>#REF!</v>
      </c>
      <c r="H898" s="139" t="e">
        <f t="shared" ca="1" si="40"/>
        <v>#REF!</v>
      </c>
      <c r="I898" s="137" t="e">
        <f t="shared" ca="1" si="41"/>
        <v>#REF!</v>
      </c>
    </row>
    <row r="899" spans="1:9" hidden="1" x14ac:dyDescent="0.25">
      <c r="A899" s="114" t="s">
        <v>948</v>
      </c>
      <c r="B899" s="115" t="s">
        <v>2921</v>
      </c>
      <c r="C899" s="116" t="s">
        <v>94</v>
      </c>
      <c r="D899" s="116">
        <v>0</v>
      </c>
      <c r="E899" s="136">
        <f ca="1">OFFSET(INDEX(Composições!A:J,MATCH(Orçamentária!A899,Composições!A:A,0),8),2,0)</f>
        <v>10.4609915</v>
      </c>
      <c r="F899" s="137">
        <f t="shared" ca="1" si="39"/>
        <v>0</v>
      </c>
      <c r="G899" s="138" t="e">
        <f>IF(A899&lt;&gt;"",IF(AND(#REF!="Padrão",$H$4=#REF!),BDI!$B$17,IF(AND(#REF!="Padrão",$H$4=#REF!),BDI!#REF!,IF(AND(#REF!="Diferenciado",$H$4=#REF!),BDI!$E$17,IF(AND(#REF!="Diferenciado",$H$4=#REF!),BDI!#REF!,IF(#REF!="ZERO",0))))),"")</f>
        <v>#REF!</v>
      </c>
      <c r="H899" s="139" t="e">
        <f t="shared" ca="1" si="40"/>
        <v>#REF!</v>
      </c>
      <c r="I899" s="137" t="e">
        <f t="shared" ca="1" si="41"/>
        <v>#REF!</v>
      </c>
    </row>
    <row r="900" spans="1:9" hidden="1" x14ac:dyDescent="0.25">
      <c r="A900" s="114" t="s">
        <v>951</v>
      </c>
      <c r="B900" s="115" t="s">
        <v>2922</v>
      </c>
      <c r="C900" s="116" t="s">
        <v>20</v>
      </c>
      <c r="D900" s="116">
        <v>0</v>
      </c>
      <c r="E900" s="136">
        <f ca="1">OFFSET(INDEX(Composições!A:J,MATCH(Orçamentária!A900,Composições!A:A,0),8),2,0)</f>
        <v>30.808500000000002</v>
      </c>
      <c r="F900" s="137">
        <f t="shared" ca="1" si="39"/>
        <v>0</v>
      </c>
      <c r="G900" s="138" t="e">
        <f>IF(A900&lt;&gt;"",IF(AND(#REF!="Padrão",$H$4=#REF!),BDI!$B$17,IF(AND(#REF!="Padrão",$H$4=#REF!),BDI!#REF!,IF(AND(#REF!="Diferenciado",$H$4=#REF!),BDI!$E$17,IF(AND(#REF!="Diferenciado",$H$4=#REF!),BDI!#REF!,IF(#REF!="ZERO",0))))),"")</f>
        <v>#REF!</v>
      </c>
      <c r="H900" s="139" t="e">
        <f t="shared" ca="1" si="40"/>
        <v>#REF!</v>
      </c>
      <c r="I900" s="137" t="e">
        <f t="shared" ca="1" si="41"/>
        <v>#REF!</v>
      </c>
    </row>
    <row r="901" spans="1:9" hidden="1" x14ac:dyDescent="0.25">
      <c r="A901" s="114" t="s">
        <v>952</v>
      </c>
      <c r="B901" s="115" t="s">
        <v>2923</v>
      </c>
      <c r="C901" s="116" t="s">
        <v>96</v>
      </c>
      <c r="D901" s="116">
        <v>0</v>
      </c>
      <c r="E901" s="136">
        <f ca="1">OFFSET(INDEX(Composições!A:J,MATCH(Orçamentária!A901,Composições!A:A,0),8),2,0)</f>
        <v>28.200750000000003</v>
      </c>
      <c r="F901" s="137">
        <f t="shared" ca="1" si="39"/>
        <v>0</v>
      </c>
      <c r="G901" s="138" t="e">
        <f>IF(A901&lt;&gt;"",IF(AND(#REF!="Padrão",$H$4=#REF!),BDI!$B$17,IF(AND(#REF!="Padrão",$H$4=#REF!),BDI!#REF!,IF(AND(#REF!="Diferenciado",$H$4=#REF!),BDI!$E$17,IF(AND(#REF!="Diferenciado",$H$4=#REF!),BDI!#REF!,IF(#REF!="ZERO",0))))),"")</f>
        <v>#REF!</v>
      </c>
      <c r="H901" s="139" t="e">
        <f t="shared" ca="1" si="40"/>
        <v>#REF!</v>
      </c>
      <c r="I901" s="137" t="e">
        <f t="shared" ca="1" si="41"/>
        <v>#REF!</v>
      </c>
    </row>
    <row r="902" spans="1:9" hidden="1" x14ac:dyDescent="0.25">
      <c r="A902" s="114" t="s">
        <v>954</v>
      </c>
      <c r="B902" s="115" t="s">
        <v>2924</v>
      </c>
      <c r="C902" s="116" t="s">
        <v>20</v>
      </c>
      <c r="D902" s="116">
        <v>0</v>
      </c>
      <c r="E902" s="136">
        <f ca="1">OFFSET(INDEX(Composições!A:J,MATCH(Orçamentária!A902,Composições!A:A,0),8),2,0)</f>
        <v>8.2156000000000002</v>
      </c>
      <c r="F902" s="137">
        <f t="shared" ca="1" si="39"/>
        <v>0</v>
      </c>
      <c r="G902" s="138" t="e">
        <f>IF(A902&lt;&gt;"",IF(AND(#REF!="Padrão",$H$4=#REF!),BDI!$B$17,IF(AND(#REF!="Padrão",$H$4=#REF!),BDI!#REF!,IF(AND(#REF!="Diferenciado",$H$4=#REF!),BDI!$E$17,IF(AND(#REF!="Diferenciado",$H$4=#REF!),BDI!#REF!,IF(#REF!="ZERO",0))))),"")</f>
        <v>#REF!</v>
      </c>
      <c r="H902" s="139" t="e">
        <f t="shared" ca="1" si="40"/>
        <v>#REF!</v>
      </c>
      <c r="I902" s="137" t="e">
        <f t="shared" ca="1" si="41"/>
        <v>#REF!</v>
      </c>
    </row>
    <row r="903" spans="1:9" hidden="1" x14ac:dyDescent="0.25">
      <c r="A903" s="114" t="s">
        <v>956</v>
      </c>
      <c r="B903" s="115" t="s">
        <v>2925</v>
      </c>
      <c r="C903" s="116" t="s">
        <v>42</v>
      </c>
      <c r="D903" s="116">
        <v>0</v>
      </c>
      <c r="E903" s="136">
        <f ca="1">OFFSET(INDEX(Composições!A:J,MATCH(Orçamentária!A903,Composições!A:A,0),8),2,0)</f>
        <v>14.960537300000002</v>
      </c>
      <c r="F903" s="137">
        <f t="shared" ref="F903:F966" ca="1" si="42">IF(ISNUMBER(E903),D903*E903,"")</f>
        <v>0</v>
      </c>
      <c r="G903" s="138" t="e">
        <f>IF(A903&lt;&gt;"",IF(AND(#REF!="Padrão",$H$4=#REF!),BDI!$B$17,IF(AND(#REF!="Padrão",$H$4=#REF!),BDI!#REF!,IF(AND(#REF!="Diferenciado",$H$4=#REF!),BDI!$E$17,IF(AND(#REF!="Diferenciado",$H$4=#REF!),BDI!#REF!,IF(#REF!="ZERO",0))))),"")</f>
        <v>#REF!</v>
      </c>
      <c r="H903" s="139" t="e">
        <f t="shared" ref="H903:H966" ca="1" si="43">IF(ISNUMBER(E903),ROUND(E903*(1+G903),2),"")</f>
        <v>#REF!</v>
      </c>
      <c r="I903" s="137" t="e">
        <f t="shared" ref="I903:I966" ca="1" si="44">IF(ISNUMBER(E903),ROUND(H903*D903,2),"")</f>
        <v>#REF!</v>
      </c>
    </row>
    <row r="904" spans="1:9" hidden="1" x14ac:dyDescent="0.25">
      <c r="A904" s="114" t="s">
        <v>962</v>
      </c>
      <c r="B904" s="115" t="s">
        <v>2926</v>
      </c>
      <c r="C904" s="116" t="s">
        <v>20</v>
      </c>
      <c r="D904" s="116">
        <v>0</v>
      </c>
      <c r="E904" s="136">
        <f ca="1">OFFSET(INDEX(Composições!A:J,MATCH(Orçamentária!A904,Composições!A:A,0),8),2,0)</f>
        <v>4.1078000000000001</v>
      </c>
      <c r="F904" s="137">
        <f t="shared" ca="1" si="42"/>
        <v>0</v>
      </c>
      <c r="G904" s="138" t="e">
        <f>IF(A904&lt;&gt;"",IF(AND(#REF!="Padrão",$H$4=#REF!),BDI!$B$17,IF(AND(#REF!="Padrão",$H$4=#REF!),BDI!#REF!,IF(AND(#REF!="Diferenciado",$H$4=#REF!),BDI!$E$17,IF(AND(#REF!="Diferenciado",$H$4=#REF!),BDI!#REF!,IF(#REF!="ZERO",0))))),"")</f>
        <v>#REF!</v>
      </c>
      <c r="H904" s="139" t="e">
        <f t="shared" ca="1" si="43"/>
        <v>#REF!</v>
      </c>
      <c r="I904" s="137" t="e">
        <f t="shared" ca="1" si="44"/>
        <v>#REF!</v>
      </c>
    </row>
    <row r="905" spans="1:9" hidden="1" x14ac:dyDescent="0.25">
      <c r="A905" s="114" t="s">
        <v>964</v>
      </c>
      <c r="B905" s="115" t="s">
        <v>2927</v>
      </c>
      <c r="C905" s="116" t="s">
        <v>20</v>
      </c>
      <c r="D905" s="116">
        <v>0</v>
      </c>
      <c r="E905" s="136">
        <f ca="1">OFFSET(INDEX(Composições!A:J,MATCH(Orçamentária!A905,Composições!A:A,0),8),2,0)</f>
        <v>6.1617000000000006</v>
      </c>
      <c r="F905" s="137">
        <f t="shared" ca="1" si="42"/>
        <v>0</v>
      </c>
      <c r="G905" s="138" t="e">
        <f>IF(A905&lt;&gt;"",IF(AND(#REF!="Padrão",$H$4=#REF!),BDI!$B$17,IF(AND(#REF!="Padrão",$H$4=#REF!),BDI!#REF!,IF(AND(#REF!="Diferenciado",$H$4=#REF!),BDI!$E$17,IF(AND(#REF!="Diferenciado",$H$4=#REF!),BDI!#REF!,IF(#REF!="ZERO",0))))),"")</f>
        <v>#REF!</v>
      </c>
      <c r="H905" s="139" t="e">
        <f t="shared" ca="1" si="43"/>
        <v>#REF!</v>
      </c>
      <c r="I905" s="137" t="e">
        <f t="shared" ca="1" si="44"/>
        <v>#REF!</v>
      </c>
    </row>
    <row r="906" spans="1:9" hidden="1" x14ac:dyDescent="0.25">
      <c r="A906" s="114" t="s">
        <v>966</v>
      </c>
      <c r="B906" s="115" t="s">
        <v>2928</v>
      </c>
      <c r="C906" s="116" t="s">
        <v>20</v>
      </c>
      <c r="D906" s="116">
        <v>0</v>
      </c>
      <c r="E906" s="136">
        <f ca="1">OFFSET(INDEX(Composições!A:J,MATCH(Orçamentária!A906,Composições!A:A,0),8),2,0)</f>
        <v>6.1617000000000006</v>
      </c>
      <c r="F906" s="137">
        <f t="shared" ca="1" si="42"/>
        <v>0</v>
      </c>
      <c r="G906" s="138" t="e">
        <f>IF(A906&lt;&gt;"",IF(AND(#REF!="Padrão",$H$4=#REF!),BDI!$B$17,IF(AND(#REF!="Padrão",$H$4=#REF!),BDI!#REF!,IF(AND(#REF!="Diferenciado",$H$4=#REF!),BDI!$E$17,IF(AND(#REF!="Diferenciado",$H$4=#REF!),BDI!#REF!,IF(#REF!="ZERO",0))))),"")</f>
        <v>#REF!</v>
      </c>
      <c r="H906" s="139" t="e">
        <f t="shared" ca="1" si="43"/>
        <v>#REF!</v>
      </c>
      <c r="I906" s="137" t="e">
        <f t="shared" ca="1" si="44"/>
        <v>#REF!</v>
      </c>
    </row>
    <row r="907" spans="1:9" hidden="1" x14ac:dyDescent="0.25">
      <c r="A907" s="114" t="s">
        <v>968</v>
      </c>
      <c r="B907" s="115" t="s">
        <v>2929</v>
      </c>
      <c r="C907" s="116" t="s">
        <v>20</v>
      </c>
      <c r="D907" s="116">
        <v>0</v>
      </c>
      <c r="E907" s="136">
        <f ca="1">OFFSET(INDEX(Composições!A:J,MATCH(Orçamentária!A907,Composições!A:A,0),8),2,0)</f>
        <v>6.1617000000000006</v>
      </c>
      <c r="F907" s="137">
        <f t="shared" ca="1" si="42"/>
        <v>0</v>
      </c>
      <c r="G907" s="138" t="e">
        <f>IF(A907&lt;&gt;"",IF(AND(#REF!="Padrão",$H$4=#REF!),BDI!$B$17,IF(AND(#REF!="Padrão",$H$4=#REF!),BDI!#REF!,IF(AND(#REF!="Diferenciado",$H$4=#REF!),BDI!$E$17,IF(AND(#REF!="Diferenciado",$H$4=#REF!),BDI!#REF!,IF(#REF!="ZERO",0))))),"")</f>
        <v>#REF!</v>
      </c>
      <c r="H907" s="139" t="e">
        <f t="shared" ca="1" si="43"/>
        <v>#REF!</v>
      </c>
      <c r="I907" s="137" t="e">
        <f t="shared" ca="1" si="44"/>
        <v>#REF!</v>
      </c>
    </row>
    <row r="908" spans="1:9" hidden="1" x14ac:dyDescent="0.25">
      <c r="A908" s="114" t="s">
        <v>970</v>
      </c>
      <c r="B908" s="115" t="s">
        <v>2930</v>
      </c>
      <c r="C908" s="116" t="s">
        <v>20</v>
      </c>
      <c r="D908" s="116">
        <v>0</v>
      </c>
      <c r="E908" s="136">
        <f ca="1">OFFSET(INDEX(Composições!A:J,MATCH(Orçamentária!A908,Composições!A:A,0),8),2,0)</f>
        <v>3.0808500000000003</v>
      </c>
      <c r="F908" s="137">
        <f t="shared" ca="1" si="42"/>
        <v>0</v>
      </c>
      <c r="G908" s="138" t="e">
        <f>IF(A908&lt;&gt;"",IF(AND(#REF!="Padrão",$H$4=#REF!),BDI!$B$17,IF(AND(#REF!="Padrão",$H$4=#REF!),BDI!#REF!,IF(AND(#REF!="Diferenciado",$H$4=#REF!),BDI!$E$17,IF(AND(#REF!="Diferenciado",$H$4=#REF!),BDI!#REF!,IF(#REF!="ZERO",0))))),"")</f>
        <v>#REF!</v>
      </c>
      <c r="H908" s="139" t="e">
        <f t="shared" ca="1" si="43"/>
        <v>#REF!</v>
      </c>
      <c r="I908" s="137" t="e">
        <f t="shared" ca="1" si="44"/>
        <v>#REF!</v>
      </c>
    </row>
    <row r="909" spans="1:9" hidden="1" x14ac:dyDescent="0.25">
      <c r="A909" s="114" t="s">
        <v>972</v>
      </c>
      <c r="B909" s="115" t="s">
        <v>2931</v>
      </c>
      <c r="C909" s="116" t="s">
        <v>20</v>
      </c>
      <c r="D909" s="116">
        <v>0</v>
      </c>
      <c r="E909" s="136">
        <f ca="1">OFFSET(INDEX(Composições!A:J,MATCH(Orçamentária!A909,Composições!A:A,0),8),2,0)</f>
        <v>3.0808500000000003</v>
      </c>
      <c r="F909" s="137">
        <f t="shared" ca="1" si="42"/>
        <v>0</v>
      </c>
      <c r="G909" s="138" t="e">
        <f>IF(A909&lt;&gt;"",IF(AND(#REF!="Padrão",$H$4=#REF!),BDI!$B$17,IF(AND(#REF!="Padrão",$H$4=#REF!),BDI!#REF!,IF(AND(#REF!="Diferenciado",$H$4=#REF!),BDI!$E$17,IF(AND(#REF!="Diferenciado",$H$4=#REF!),BDI!#REF!,IF(#REF!="ZERO",0))))),"")</f>
        <v>#REF!</v>
      </c>
      <c r="H909" s="139" t="e">
        <f t="shared" ca="1" si="43"/>
        <v>#REF!</v>
      </c>
      <c r="I909" s="137" t="e">
        <f t="shared" ca="1" si="44"/>
        <v>#REF!</v>
      </c>
    </row>
    <row r="910" spans="1:9" hidden="1" x14ac:dyDescent="0.25">
      <c r="A910" s="114" t="s">
        <v>974</v>
      </c>
      <c r="B910" s="115" t="s">
        <v>2932</v>
      </c>
      <c r="C910" s="116" t="s">
        <v>20</v>
      </c>
      <c r="D910" s="116">
        <v>0</v>
      </c>
      <c r="E910" s="136">
        <f ca="1">OFFSET(INDEX(Composições!A:J,MATCH(Orçamentária!A910,Composições!A:A,0),8),2,0)</f>
        <v>3.0808500000000003</v>
      </c>
      <c r="F910" s="137">
        <f t="shared" ca="1" si="42"/>
        <v>0</v>
      </c>
      <c r="G910" s="138" t="e">
        <f>IF(A910&lt;&gt;"",IF(AND(#REF!="Padrão",$H$4=#REF!),BDI!$B$17,IF(AND(#REF!="Padrão",$H$4=#REF!),BDI!#REF!,IF(AND(#REF!="Diferenciado",$H$4=#REF!),BDI!$E$17,IF(AND(#REF!="Diferenciado",$H$4=#REF!),BDI!#REF!,IF(#REF!="ZERO",0))))),"")</f>
        <v>#REF!</v>
      </c>
      <c r="H910" s="139" t="e">
        <f t="shared" ca="1" si="43"/>
        <v>#REF!</v>
      </c>
      <c r="I910" s="137" t="e">
        <f t="shared" ca="1" si="44"/>
        <v>#REF!</v>
      </c>
    </row>
    <row r="911" spans="1:9" hidden="1" x14ac:dyDescent="0.25">
      <c r="A911" s="114" t="s">
        <v>976</v>
      </c>
      <c r="B911" s="115" t="s">
        <v>2933</v>
      </c>
      <c r="C911" s="116" t="s">
        <v>20</v>
      </c>
      <c r="D911" s="116">
        <v>0</v>
      </c>
      <c r="E911" s="136">
        <f ca="1">OFFSET(INDEX(Composições!A:J,MATCH(Orçamentária!A911,Composições!A:A,0),8),2,0)</f>
        <v>3.0808500000000003</v>
      </c>
      <c r="F911" s="137">
        <f t="shared" ca="1" si="42"/>
        <v>0</v>
      </c>
      <c r="G911" s="138" t="e">
        <f>IF(A911&lt;&gt;"",IF(AND(#REF!="Padrão",$H$4=#REF!),BDI!$B$17,IF(AND(#REF!="Padrão",$H$4=#REF!),BDI!#REF!,IF(AND(#REF!="Diferenciado",$H$4=#REF!),BDI!$E$17,IF(AND(#REF!="Diferenciado",$H$4=#REF!),BDI!#REF!,IF(#REF!="ZERO",0))))),"")</f>
        <v>#REF!</v>
      </c>
      <c r="H911" s="139" t="e">
        <f t="shared" ca="1" si="43"/>
        <v>#REF!</v>
      </c>
      <c r="I911" s="137" t="e">
        <f t="shared" ca="1" si="44"/>
        <v>#REF!</v>
      </c>
    </row>
    <row r="912" spans="1:9" hidden="1" x14ac:dyDescent="0.25">
      <c r="A912" s="114" t="s">
        <v>978</v>
      </c>
      <c r="B912" s="115" t="s">
        <v>2934</v>
      </c>
      <c r="C912" s="116" t="s">
        <v>20</v>
      </c>
      <c r="D912" s="116">
        <v>0</v>
      </c>
      <c r="E912" s="136">
        <f ca="1">OFFSET(INDEX(Composições!A:J,MATCH(Orçamentária!A912,Composições!A:A,0),8),2,0)</f>
        <v>8.2156000000000002</v>
      </c>
      <c r="F912" s="137">
        <f t="shared" ca="1" si="42"/>
        <v>0</v>
      </c>
      <c r="G912" s="138" t="e">
        <f>IF(A912&lt;&gt;"",IF(AND(#REF!="Padrão",$H$4=#REF!),BDI!$B$17,IF(AND(#REF!="Padrão",$H$4=#REF!),BDI!#REF!,IF(AND(#REF!="Diferenciado",$H$4=#REF!),BDI!$E$17,IF(AND(#REF!="Diferenciado",$H$4=#REF!),BDI!#REF!,IF(#REF!="ZERO",0))))),"")</f>
        <v>#REF!</v>
      </c>
      <c r="H912" s="139" t="e">
        <f t="shared" ca="1" si="43"/>
        <v>#REF!</v>
      </c>
      <c r="I912" s="137" t="e">
        <f t="shared" ca="1" si="44"/>
        <v>#REF!</v>
      </c>
    </row>
    <row r="913" spans="1:9" hidden="1" x14ac:dyDescent="0.25">
      <c r="A913" s="114" t="s">
        <v>980</v>
      </c>
      <c r="B913" s="115" t="s">
        <v>2935</v>
      </c>
      <c r="C913" s="116" t="s">
        <v>2936</v>
      </c>
      <c r="D913" s="116">
        <v>0</v>
      </c>
      <c r="E913" s="136">
        <f ca="1">OFFSET(INDEX(Composições!A:J,MATCH(Orçamentária!A913,Composições!A:A,0),8),2,0)</f>
        <v>47.645891500000005</v>
      </c>
      <c r="F913" s="137">
        <f t="shared" ca="1" si="42"/>
        <v>0</v>
      </c>
      <c r="G913" s="138" t="e">
        <f>IF(A913&lt;&gt;"",IF(AND(#REF!="Padrão",$H$4=#REF!),BDI!$B$17,IF(AND(#REF!="Padrão",$H$4=#REF!),BDI!#REF!,IF(AND(#REF!="Diferenciado",$H$4=#REF!),BDI!$E$17,IF(AND(#REF!="Diferenciado",$H$4=#REF!),BDI!#REF!,IF(#REF!="ZERO",0))))),"")</f>
        <v>#REF!</v>
      </c>
      <c r="H913" s="139" t="e">
        <f t="shared" ca="1" si="43"/>
        <v>#REF!</v>
      </c>
      <c r="I913" s="137" t="e">
        <f t="shared" ca="1" si="44"/>
        <v>#REF!</v>
      </c>
    </row>
    <row r="914" spans="1:9" hidden="1" x14ac:dyDescent="0.25">
      <c r="A914" s="114" t="s">
        <v>981</v>
      </c>
      <c r="B914" s="115" t="s">
        <v>2937</v>
      </c>
      <c r="C914" s="116" t="s">
        <v>96</v>
      </c>
      <c r="D914" s="116">
        <v>0</v>
      </c>
      <c r="E914" s="136">
        <f ca="1">OFFSET(INDEX(Composições!A:J,MATCH(Orçamentária!A914,Composições!A:A,0),8),2,0)</f>
        <v>111.848725</v>
      </c>
      <c r="F914" s="137">
        <f t="shared" ca="1" si="42"/>
        <v>0</v>
      </c>
      <c r="G914" s="138" t="e">
        <f>IF(A914&lt;&gt;"",IF(AND(#REF!="Padrão",$H$4=#REF!),BDI!$B$17,IF(AND(#REF!="Padrão",$H$4=#REF!),BDI!#REF!,IF(AND(#REF!="Diferenciado",$H$4=#REF!),BDI!$E$17,IF(AND(#REF!="Diferenciado",$H$4=#REF!),BDI!#REF!,IF(#REF!="ZERO",0))))),"")</f>
        <v>#REF!</v>
      </c>
      <c r="H914" s="139" t="e">
        <f t="shared" ca="1" si="43"/>
        <v>#REF!</v>
      </c>
      <c r="I914" s="137" t="e">
        <f t="shared" ca="1" si="44"/>
        <v>#REF!</v>
      </c>
    </row>
    <row r="915" spans="1:9" hidden="1" x14ac:dyDescent="0.25">
      <c r="A915" s="114" t="s">
        <v>983</v>
      </c>
      <c r="B915" s="115" t="s">
        <v>2938</v>
      </c>
      <c r="C915" s="116" t="s">
        <v>96</v>
      </c>
      <c r="D915" s="116">
        <v>0</v>
      </c>
      <c r="E915" s="136">
        <f ca="1">OFFSET(INDEX(Composições!A:J,MATCH(Orçamentária!A915,Composições!A:A,0),8),2,0)</f>
        <v>184.49380000000002</v>
      </c>
      <c r="F915" s="137">
        <f t="shared" ca="1" si="42"/>
        <v>0</v>
      </c>
      <c r="G915" s="138" t="e">
        <f>IF(A915&lt;&gt;"",IF(AND(#REF!="Padrão",$H$4=#REF!),BDI!$B$17,IF(AND(#REF!="Padrão",$H$4=#REF!),BDI!#REF!,IF(AND(#REF!="Diferenciado",$H$4=#REF!),BDI!$E$17,IF(AND(#REF!="Diferenciado",$H$4=#REF!),BDI!#REF!,IF(#REF!="ZERO",0))))),"")</f>
        <v>#REF!</v>
      </c>
      <c r="H915" s="139" t="e">
        <f t="shared" ca="1" si="43"/>
        <v>#REF!</v>
      </c>
      <c r="I915" s="137" t="e">
        <f t="shared" ca="1" si="44"/>
        <v>#REF!</v>
      </c>
    </row>
    <row r="916" spans="1:9" hidden="1" x14ac:dyDescent="0.25">
      <c r="A916" s="114" t="s">
        <v>985</v>
      </c>
      <c r="B916" s="115" t="s">
        <v>2939</v>
      </c>
      <c r="C916" s="116" t="s">
        <v>94</v>
      </c>
      <c r="D916" s="116">
        <v>0</v>
      </c>
      <c r="E916" s="136">
        <f ca="1">OFFSET(INDEX(Composições!A:J,MATCH(Orçamentária!A916,Composições!A:A,0),8),2,0)</f>
        <v>23.1419487</v>
      </c>
      <c r="F916" s="137">
        <f t="shared" ca="1" si="42"/>
        <v>0</v>
      </c>
      <c r="G916" s="138" t="e">
        <f>IF(A916&lt;&gt;"",IF(AND(#REF!="Padrão",$H$4=#REF!),BDI!$B$17,IF(AND(#REF!="Padrão",$H$4=#REF!),BDI!#REF!,IF(AND(#REF!="Diferenciado",$H$4=#REF!),BDI!$E$17,IF(AND(#REF!="Diferenciado",$H$4=#REF!),BDI!#REF!,IF(#REF!="ZERO",0))))),"")</f>
        <v>#REF!</v>
      </c>
      <c r="H916" s="139" t="e">
        <f t="shared" ca="1" si="43"/>
        <v>#REF!</v>
      </c>
      <c r="I916" s="137" t="e">
        <f t="shared" ca="1" si="44"/>
        <v>#REF!</v>
      </c>
    </row>
    <row r="917" spans="1:9" hidden="1" x14ac:dyDescent="0.25">
      <c r="A917" s="114" t="s">
        <v>986</v>
      </c>
      <c r="B917" s="115" t="s">
        <v>2940</v>
      </c>
      <c r="C917" s="116" t="s">
        <v>96</v>
      </c>
      <c r="D917" s="116">
        <v>0</v>
      </c>
      <c r="E917" s="136">
        <f ca="1">OFFSET(INDEX(Composições!A:J,MATCH(Orçamentária!A917,Composições!A:A,0),8),2,0)</f>
        <v>64.778599999999997</v>
      </c>
      <c r="F917" s="137">
        <f t="shared" ca="1" si="42"/>
        <v>0</v>
      </c>
      <c r="G917" s="138" t="e">
        <f>IF(A917&lt;&gt;"",IF(AND(#REF!="Padrão",$H$4=#REF!),BDI!$B$17,IF(AND(#REF!="Padrão",$H$4=#REF!),BDI!#REF!,IF(AND(#REF!="Diferenciado",$H$4=#REF!),BDI!$E$17,IF(AND(#REF!="Diferenciado",$H$4=#REF!),BDI!#REF!,IF(#REF!="ZERO",0))))),"")</f>
        <v>#REF!</v>
      </c>
      <c r="H917" s="139" t="e">
        <f t="shared" ca="1" si="43"/>
        <v>#REF!</v>
      </c>
      <c r="I917" s="137" t="e">
        <f t="shared" ca="1" si="44"/>
        <v>#REF!</v>
      </c>
    </row>
    <row r="918" spans="1:9" hidden="1" x14ac:dyDescent="0.25">
      <c r="A918" s="114" t="s">
        <v>988</v>
      </c>
      <c r="B918" s="115" t="s">
        <v>989</v>
      </c>
      <c r="C918" s="116" t="s">
        <v>96</v>
      </c>
      <c r="D918" s="116">
        <v>0</v>
      </c>
      <c r="E918" s="136">
        <f ca="1">OFFSET(INDEX(Composições!A:J,MATCH(Orçamentária!A918,Composições!A:A,0),8),2,0)</f>
        <v>64.778600000000012</v>
      </c>
      <c r="F918" s="137">
        <f t="shared" ca="1" si="42"/>
        <v>0</v>
      </c>
      <c r="G918" s="138" t="e">
        <f>IF(A918&lt;&gt;"",IF(AND(#REF!="Padrão",$H$4=#REF!),BDI!$B$17,IF(AND(#REF!="Padrão",$H$4=#REF!),BDI!#REF!,IF(AND(#REF!="Diferenciado",$H$4=#REF!),BDI!$E$17,IF(AND(#REF!="Diferenciado",$H$4=#REF!),BDI!#REF!,IF(#REF!="ZERO",0))))),"")</f>
        <v>#REF!</v>
      </c>
      <c r="H918" s="139" t="e">
        <f t="shared" ca="1" si="43"/>
        <v>#REF!</v>
      </c>
      <c r="I918" s="137" t="e">
        <f t="shared" ca="1" si="44"/>
        <v>#REF!</v>
      </c>
    </row>
    <row r="919" spans="1:9" hidden="1" x14ac:dyDescent="0.25">
      <c r="A919" s="114" t="s">
        <v>990</v>
      </c>
      <c r="B919" s="115" t="s">
        <v>2941</v>
      </c>
      <c r="C919" s="116" t="s">
        <v>20</v>
      </c>
      <c r="D919" s="116">
        <v>0</v>
      </c>
      <c r="E919" s="136">
        <f ca="1">OFFSET(INDEX(Composições!A:J,MATCH(Orçamentária!A919,Composições!A:A,0),8),2,0)</f>
        <v>6.3478999999999992</v>
      </c>
      <c r="F919" s="137">
        <f t="shared" ca="1" si="42"/>
        <v>0</v>
      </c>
      <c r="G919" s="138" t="e">
        <f>IF(A919&lt;&gt;"",IF(AND(#REF!="Padrão",$H$4=#REF!),BDI!$B$17,IF(AND(#REF!="Padrão",$H$4=#REF!),BDI!#REF!,IF(AND(#REF!="Diferenciado",$H$4=#REF!),BDI!$E$17,IF(AND(#REF!="Diferenciado",$H$4=#REF!),BDI!#REF!,IF(#REF!="ZERO",0))))),"")</f>
        <v>#REF!</v>
      </c>
      <c r="H919" s="139" t="e">
        <f t="shared" ca="1" si="43"/>
        <v>#REF!</v>
      </c>
      <c r="I919" s="137" t="e">
        <f t="shared" ca="1" si="44"/>
        <v>#REF!</v>
      </c>
    </row>
    <row r="920" spans="1:9" hidden="1" x14ac:dyDescent="0.25">
      <c r="A920" s="114" t="s">
        <v>991</v>
      </c>
      <c r="B920" s="115" t="s">
        <v>2942</v>
      </c>
      <c r="C920" s="116" t="s">
        <v>112</v>
      </c>
      <c r="D920" s="116">
        <v>0</v>
      </c>
      <c r="E920" s="136">
        <f ca="1">OFFSET(INDEX(Composições!A:J,MATCH(Orçamentária!A920,Composições!A:A,0),8),2,0)</f>
        <v>2741.9053634000002</v>
      </c>
      <c r="F920" s="137">
        <f t="shared" ca="1" si="42"/>
        <v>0</v>
      </c>
      <c r="G920" s="138" t="e">
        <f>IF(A920&lt;&gt;"",IF(AND(#REF!="Padrão",$H$4=#REF!),BDI!$B$17,IF(AND(#REF!="Padrão",$H$4=#REF!),BDI!#REF!,IF(AND(#REF!="Diferenciado",$H$4=#REF!),BDI!$E$17,IF(AND(#REF!="Diferenciado",$H$4=#REF!),BDI!#REF!,IF(#REF!="ZERO",0))))),"")</f>
        <v>#REF!</v>
      </c>
      <c r="H920" s="139" t="e">
        <f t="shared" ca="1" si="43"/>
        <v>#REF!</v>
      </c>
      <c r="I920" s="137" t="e">
        <f t="shared" ca="1" si="44"/>
        <v>#REF!</v>
      </c>
    </row>
    <row r="921" spans="1:9" hidden="1" x14ac:dyDescent="0.25">
      <c r="A921" s="114" t="s">
        <v>993</v>
      </c>
      <c r="B921" s="115" t="s">
        <v>2943</v>
      </c>
      <c r="C921" s="116" t="s">
        <v>42</v>
      </c>
      <c r="D921" s="116">
        <v>0</v>
      </c>
      <c r="E921" s="136">
        <f ca="1">OFFSET(INDEX(Composições!A:J,MATCH(Orçamentária!A921,Composições!A:A,0),8),2,0)</f>
        <v>11.1327137</v>
      </c>
      <c r="F921" s="137">
        <f t="shared" ca="1" si="42"/>
        <v>0</v>
      </c>
      <c r="G921" s="138" t="e">
        <f>IF(A921&lt;&gt;"",IF(AND(#REF!="Padrão",$H$4=#REF!),BDI!$B$17,IF(AND(#REF!="Padrão",$H$4=#REF!),BDI!#REF!,IF(AND(#REF!="Diferenciado",$H$4=#REF!),BDI!$E$17,IF(AND(#REF!="Diferenciado",$H$4=#REF!),BDI!#REF!,IF(#REF!="ZERO",0))))),"")</f>
        <v>#REF!</v>
      </c>
      <c r="H921" s="139" t="e">
        <f t="shared" ca="1" si="43"/>
        <v>#REF!</v>
      </c>
      <c r="I921" s="137" t="e">
        <f t="shared" ca="1" si="44"/>
        <v>#REF!</v>
      </c>
    </row>
    <row r="922" spans="1:9" hidden="1" x14ac:dyDescent="0.25">
      <c r="A922" s="114" t="s">
        <v>995</v>
      </c>
      <c r="B922" s="115" t="s">
        <v>2944</v>
      </c>
      <c r="C922" s="116" t="s">
        <v>42</v>
      </c>
      <c r="D922" s="116">
        <v>0</v>
      </c>
      <c r="E922" s="136">
        <f ca="1">OFFSET(INDEX(Composições!A:J,MATCH(Orçamentária!A922,Composições!A:A,0),8),2,0)</f>
        <v>11.606248799999999</v>
      </c>
      <c r="F922" s="137">
        <f t="shared" ca="1" si="42"/>
        <v>0</v>
      </c>
      <c r="G922" s="138" t="e">
        <f>IF(A922&lt;&gt;"",IF(AND(#REF!="Padrão",$H$4=#REF!),BDI!$B$17,IF(AND(#REF!="Padrão",$H$4=#REF!),BDI!#REF!,IF(AND(#REF!="Diferenciado",$H$4=#REF!),BDI!$E$17,IF(AND(#REF!="Diferenciado",$H$4=#REF!),BDI!#REF!,IF(#REF!="ZERO",0))))),"")</f>
        <v>#REF!</v>
      </c>
      <c r="H922" s="139" t="e">
        <f t="shared" ca="1" si="43"/>
        <v>#REF!</v>
      </c>
      <c r="I922" s="137" t="e">
        <f t="shared" ca="1" si="44"/>
        <v>#REF!</v>
      </c>
    </row>
    <row r="923" spans="1:9" hidden="1" x14ac:dyDescent="0.25">
      <c r="A923" s="114" t="s">
        <v>997</v>
      </c>
      <c r="B923" s="115" t="s">
        <v>2945</v>
      </c>
      <c r="C923" s="116" t="s">
        <v>20</v>
      </c>
      <c r="D923" s="116">
        <v>0</v>
      </c>
      <c r="E923" s="136">
        <f ca="1">OFFSET(INDEX(Composições!A:J,MATCH(Orçamentária!A923,Composições!A:A,0),8),2,0)</f>
        <v>20.267775000000004</v>
      </c>
      <c r="F923" s="137">
        <f t="shared" ca="1" si="42"/>
        <v>0</v>
      </c>
      <c r="G923" s="138" t="e">
        <f>IF(A923&lt;&gt;"",IF(AND(#REF!="Padrão",$H$4=#REF!),BDI!$B$17,IF(AND(#REF!="Padrão",$H$4=#REF!),BDI!#REF!,IF(AND(#REF!="Diferenciado",$H$4=#REF!),BDI!$E$17,IF(AND(#REF!="Diferenciado",$H$4=#REF!),BDI!#REF!,IF(#REF!="ZERO",0))))),"")</f>
        <v>#REF!</v>
      </c>
      <c r="H923" s="139" t="e">
        <f t="shared" ca="1" si="43"/>
        <v>#REF!</v>
      </c>
      <c r="I923" s="137" t="e">
        <f t="shared" ca="1" si="44"/>
        <v>#REF!</v>
      </c>
    </row>
    <row r="924" spans="1:9" hidden="1" x14ac:dyDescent="0.25">
      <c r="A924" s="114" t="s">
        <v>998</v>
      </c>
      <c r="B924" s="115" t="s">
        <v>2946</v>
      </c>
      <c r="C924" s="116" t="s">
        <v>112</v>
      </c>
      <c r="D924" s="116">
        <v>0</v>
      </c>
      <c r="E924" s="136">
        <f ca="1">OFFSET(INDEX(Composições!A:J,MATCH(Orçamentária!A924,Composições!A:A,0),8),2,0)</f>
        <v>64.528294000000002</v>
      </c>
      <c r="F924" s="137">
        <f t="shared" ca="1" si="42"/>
        <v>0</v>
      </c>
      <c r="G924" s="138" t="e">
        <f>IF(A924&lt;&gt;"",IF(AND(#REF!="Padrão",$H$4=#REF!),BDI!$B$17,IF(AND(#REF!="Padrão",$H$4=#REF!),BDI!#REF!,IF(AND(#REF!="Diferenciado",$H$4=#REF!),BDI!$E$17,IF(AND(#REF!="Diferenciado",$H$4=#REF!),BDI!#REF!,IF(#REF!="ZERO",0))))),"")</f>
        <v>#REF!</v>
      </c>
      <c r="H924" s="139" t="e">
        <f t="shared" ca="1" si="43"/>
        <v>#REF!</v>
      </c>
      <c r="I924" s="137" t="e">
        <f t="shared" ca="1" si="44"/>
        <v>#REF!</v>
      </c>
    </row>
    <row r="925" spans="1:9" hidden="1" x14ac:dyDescent="0.25">
      <c r="A925" s="114" t="s">
        <v>999</v>
      </c>
      <c r="B925" s="115" t="s">
        <v>2947</v>
      </c>
      <c r="C925" s="116" t="s">
        <v>112</v>
      </c>
      <c r="D925" s="116">
        <v>0</v>
      </c>
      <c r="E925" s="136">
        <f ca="1">OFFSET(INDEX(Composições!A:J,MATCH(Orçamentária!A925,Composições!A:A,0),8),2,0)</f>
        <v>23.257406000000003</v>
      </c>
      <c r="F925" s="137">
        <f t="shared" ca="1" si="42"/>
        <v>0</v>
      </c>
      <c r="G925" s="138" t="e">
        <f>IF(A925&lt;&gt;"",IF(AND(#REF!="Padrão",$H$4=#REF!),BDI!$B$17,IF(AND(#REF!="Padrão",$H$4=#REF!),BDI!#REF!,IF(AND(#REF!="Diferenciado",$H$4=#REF!),BDI!$E$17,IF(AND(#REF!="Diferenciado",$H$4=#REF!),BDI!#REF!,IF(#REF!="ZERO",0))))),"")</f>
        <v>#REF!</v>
      </c>
      <c r="H925" s="139" t="e">
        <f t="shared" ca="1" si="43"/>
        <v>#REF!</v>
      </c>
      <c r="I925" s="137" t="e">
        <f t="shared" ca="1" si="44"/>
        <v>#REF!</v>
      </c>
    </row>
    <row r="926" spans="1:9" hidden="1" x14ac:dyDescent="0.25">
      <c r="A926" s="114" t="s">
        <v>1005</v>
      </c>
      <c r="B926" s="115" t="s">
        <v>2948</v>
      </c>
      <c r="C926" s="116" t="s">
        <v>112</v>
      </c>
      <c r="D926" s="116">
        <v>0</v>
      </c>
      <c r="E926" s="136">
        <f ca="1">OFFSET(INDEX(Composições!A:J,MATCH(Orçamentária!A926,Composições!A:A,0),8),2,0)</f>
        <v>87.478461687500001</v>
      </c>
      <c r="F926" s="137">
        <f t="shared" ca="1" si="42"/>
        <v>0</v>
      </c>
      <c r="G926" s="138" t="e">
        <f>IF(A926&lt;&gt;"",IF(AND(#REF!="Padrão",$H$4=#REF!),BDI!$B$17,IF(AND(#REF!="Padrão",$H$4=#REF!),BDI!#REF!,IF(AND(#REF!="Diferenciado",$H$4=#REF!),BDI!$E$17,IF(AND(#REF!="Diferenciado",$H$4=#REF!),BDI!#REF!,IF(#REF!="ZERO",0))))),"")</f>
        <v>#REF!</v>
      </c>
      <c r="H926" s="139" t="e">
        <f t="shared" ca="1" si="43"/>
        <v>#REF!</v>
      </c>
      <c r="I926" s="137" t="e">
        <f t="shared" ca="1" si="44"/>
        <v>#REF!</v>
      </c>
    </row>
    <row r="927" spans="1:9" hidden="1" x14ac:dyDescent="0.25">
      <c r="A927" s="114" t="s">
        <v>1010</v>
      </c>
      <c r="B927" s="115" t="s">
        <v>2949</v>
      </c>
      <c r="C927" s="116" t="s">
        <v>94</v>
      </c>
      <c r="D927" s="116">
        <v>0</v>
      </c>
      <c r="E927" s="136">
        <f ca="1">OFFSET(INDEX(Composições!A:J,MATCH(Orçamentária!A927,Composições!A:A,0),8),2,0)</f>
        <v>51.099185200000001</v>
      </c>
      <c r="F927" s="137">
        <f t="shared" ca="1" si="42"/>
        <v>0</v>
      </c>
      <c r="G927" s="138" t="e">
        <f>IF(A927&lt;&gt;"",IF(AND(#REF!="Padrão",$H$4=#REF!),BDI!$B$17,IF(AND(#REF!="Padrão",$H$4=#REF!),BDI!#REF!,IF(AND(#REF!="Diferenciado",$H$4=#REF!),BDI!$E$17,IF(AND(#REF!="Diferenciado",$H$4=#REF!),BDI!#REF!,IF(#REF!="ZERO",0))))),"")</f>
        <v>#REF!</v>
      </c>
      <c r="H927" s="139" t="e">
        <f t="shared" ca="1" si="43"/>
        <v>#REF!</v>
      </c>
      <c r="I927" s="137" t="e">
        <f t="shared" ca="1" si="44"/>
        <v>#REF!</v>
      </c>
    </row>
    <row r="928" spans="1:9" hidden="1" x14ac:dyDescent="0.25">
      <c r="A928" s="114" t="s">
        <v>1014</v>
      </c>
      <c r="B928" s="115" t="s">
        <v>2950</v>
      </c>
      <c r="C928" s="116" t="s">
        <v>94</v>
      </c>
      <c r="D928" s="116">
        <v>0</v>
      </c>
      <c r="E928" s="136">
        <f ca="1">OFFSET(INDEX(Composições!A:J,MATCH(Orçamentária!A928,Composições!A:A,0),8),2,0)</f>
        <v>63.976761999999987</v>
      </c>
      <c r="F928" s="137">
        <f t="shared" ca="1" si="42"/>
        <v>0</v>
      </c>
      <c r="G928" s="138" t="e">
        <f>IF(A928&lt;&gt;"",IF(AND(#REF!="Padrão",$H$4=#REF!),BDI!$B$17,IF(AND(#REF!="Padrão",$H$4=#REF!),BDI!#REF!,IF(AND(#REF!="Diferenciado",$H$4=#REF!),BDI!$E$17,IF(AND(#REF!="Diferenciado",$H$4=#REF!),BDI!#REF!,IF(#REF!="ZERO",0))))),"")</f>
        <v>#REF!</v>
      </c>
      <c r="H928" s="139" t="e">
        <f t="shared" ca="1" si="43"/>
        <v>#REF!</v>
      </c>
      <c r="I928" s="137" t="e">
        <f t="shared" ca="1" si="44"/>
        <v>#REF!</v>
      </c>
    </row>
    <row r="929" spans="1:9" hidden="1" x14ac:dyDescent="0.25">
      <c r="A929" s="114" t="s">
        <v>1016</v>
      </c>
      <c r="B929" s="115" t="s">
        <v>2951</v>
      </c>
      <c r="C929" s="116" t="s">
        <v>94</v>
      </c>
      <c r="D929" s="116">
        <v>0</v>
      </c>
      <c r="E929" s="136">
        <f ca="1">OFFSET(INDEX(Composições!A:J,MATCH(Orçamentária!A929,Composições!A:A,0),8),2,0)</f>
        <v>116.30584759999996</v>
      </c>
      <c r="F929" s="137">
        <f t="shared" ca="1" si="42"/>
        <v>0</v>
      </c>
      <c r="G929" s="138" t="e">
        <f>IF(A929&lt;&gt;"",IF(AND(#REF!="Padrão",$H$4=#REF!),BDI!$B$17,IF(AND(#REF!="Padrão",$H$4=#REF!),BDI!#REF!,IF(AND(#REF!="Diferenciado",$H$4=#REF!),BDI!$E$17,IF(AND(#REF!="Diferenciado",$H$4=#REF!),BDI!#REF!,IF(#REF!="ZERO",0))))),"")</f>
        <v>#REF!</v>
      </c>
      <c r="H929" s="139" t="e">
        <f t="shared" ca="1" si="43"/>
        <v>#REF!</v>
      </c>
      <c r="I929" s="137" t="e">
        <f t="shared" ca="1" si="44"/>
        <v>#REF!</v>
      </c>
    </row>
    <row r="930" spans="1:9" hidden="1" x14ac:dyDescent="0.25">
      <c r="A930" s="114" t="s">
        <v>1018</v>
      </c>
      <c r="B930" s="115" t="s">
        <v>2952</v>
      </c>
      <c r="C930" s="116" t="s">
        <v>20</v>
      </c>
      <c r="D930" s="116">
        <v>0</v>
      </c>
      <c r="E930" s="136">
        <f ca="1">OFFSET(INDEX(Composições!A:J,MATCH(Orçamentária!A930,Composições!A:A,0),8),2,0)</f>
        <v>708.14030559999992</v>
      </c>
      <c r="F930" s="137">
        <f t="shared" ca="1" si="42"/>
        <v>0</v>
      </c>
      <c r="G930" s="138" t="e">
        <f>IF(A930&lt;&gt;"",IF(AND(#REF!="Padrão",$H$4=#REF!),BDI!$B$17,IF(AND(#REF!="Padrão",$H$4=#REF!),BDI!#REF!,IF(AND(#REF!="Diferenciado",$H$4=#REF!),BDI!$E$17,IF(AND(#REF!="Diferenciado",$H$4=#REF!),BDI!#REF!,IF(#REF!="ZERO",0))))),"")</f>
        <v>#REF!</v>
      </c>
      <c r="H930" s="139" t="e">
        <f t="shared" ca="1" si="43"/>
        <v>#REF!</v>
      </c>
      <c r="I930" s="137" t="e">
        <f t="shared" ca="1" si="44"/>
        <v>#REF!</v>
      </c>
    </row>
    <row r="931" spans="1:9" hidden="1" x14ac:dyDescent="0.25">
      <c r="A931" s="114" t="s">
        <v>1022</v>
      </c>
      <c r="B931" s="115" t="s">
        <v>2953</v>
      </c>
      <c r="C931" s="116" t="s">
        <v>20</v>
      </c>
      <c r="D931" s="116">
        <v>0</v>
      </c>
      <c r="E931" s="136">
        <f ca="1">OFFSET(INDEX(Composições!A:J,MATCH(Orçamentária!A931,Composições!A:A,0),8),2,0)</f>
        <v>1.6311500000000003</v>
      </c>
      <c r="F931" s="137">
        <f t="shared" ca="1" si="42"/>
        <v>0</v>
      </c>
      <c r="G931" s="138" t="e">
        <f>IF(A931&lt;&gt;"",IF(AND(#REF!="Padrão",$H$4=#REF!),BDI!$B$17,IF(AND(#REF!="Padrão",$H$4=#REF!),BDI!#REF!,IF(AND(#REF!="Diferenciado",$H$4=#REF!),BDI!$E$17,IF(AND(#REF!="Diferenciado",$H$4=#REF!),BDI!#REF!,IF(#REF!="ZERO",0))))),"")</f>
        <v>#REF!</v>
      </c>
      <c r="H931" s="139" t="e">
        <f t="shared" ca="1" si="43"/>
        <v>#REF!</v>
      </c>
      <c r="I931" s="137" t="e">
        <f t="shared" ca="1" si="44"/>
        <v>#REF!</v>
      </c>
    </row>
    <row r="932" spans="1:9" hidden="1" x14ac:dyDescent="0.25">
      <c r="A932" s="114" t="s">
        <v>1025</v>
      </c>
      <c r="B932" s="115" t="s">
        <v>2954</v>
      </c>
      <c r="C932" s="116" t="s">
        <v>20</v>
      </c>
      <c r="D932" s="116">
        <v>0</v>
      </c>
      <c r="E932" s="136">
        <f ca="1">OFFSET(INDEX(Composições!A:J,MATCH(Orçamentária!A932,Composições!A:A,0),8),2,0)</f>
        <v>30.646316000000006</v>
      </c>
      <c r="F932" s="137">
        <f t="shared" ca="1" si="42"/>
        <v>0</v>
      </c>
      <c r="G932" s="138" t="e">
        <f>IF(A932&lt;&gt;"",IF(AND(#REF!="Padrão",$H$4=#REF!),BDI!$B$17,IF(AND(#REF!="Padrão",$H$4=#REF!),BDI!#REF!,IF(AND(#REF!="Diferenciado",$H$4=#REF!),BDI!$E$17,IF(AND(#REF!="Diferenciado",$H$4=#REF!),BDI!#REF!,IF(#REF!="ZERO",0))))),"")</f>
        <v>#REF!</v>
      </c>
      <c r="H932" s="139" t="e">
        <f t="shared" ca="1" si="43"/>
        <v>#REF!</v>
      </c>
      <c r="I932" s="137" t="e">
        <f t="shared" ca="1" si="44"/>
        <v>#REF!</v>
      </c>
    </row>
    <row r="933" spans="1:9" hidden="1" x14ac:dyDescent="0.25">
      <c r="A933" s="114" t="s">
        <v>1027</v>
      </c>
      <c r="B933" s="115" t="s">
        <v>2955</v>
      </c>
      <c r="C933" s="116" t="s">
        <v>94</v>
      </c>
      <c r="D933" s="116">
        <v>0</v>
      </c>
      <c r="E933" s="136">
        <f ca="1">OFFSET(INDEX(Composições!A:J,MATCH(Orçamentária!A933,Composições!A:A,0),8),2,0)</f>
        <v>2.5662444999999998</v>
      </c>
      <c r="F933" s="137">
        <f t="shared" ca="1" si="42"/>
        <v>0</v>
      </c>
      <c r="G933" s="138" t="e">
        <f>IF(A933&lt;&gt;"",IF(AND(#REF!="Padrão",$H$4=#REF!),BDI!$B$17,IF(AND(#REF!="Padrão",$H$4=#REF!),BDI!#REF!,IF(AND(#REF!="Diferenciado",$H$4=#REF!),BDI!$E$17,IF(AND(#REF!="Diferenciado",$H$4=#REF!),BDI!#REF!,IF(#REF!="ZERO",0))))),"")</f>
        <v>#REF!</v>
      </c>
      <c r="H933" s="139" t="e">
        <f t="shared" ca="1" si="43"/>
        <v>#REF!</v>
      </c>
      <c r="I933" s="137" t="e">
        <f t="shared" ca="1" si="44"/>
        <v>#REF!</v>
      </c>
    </row>
    <row r="934" spans="1:9" hidden="1" x14ac:dyDescent="0.25">
      <c r="A934" s="114" t="s">
        <v>1029</v>
      </c>
      <c r="B934" s="115" t="s">
        <v>2956</v>
      </c>
      <c r="C934" s="116" t="s">
        <v>94</v>
      </c>
      <c r="D934" s="116">
        <v>0</v>
      </c>
      <c r="E934" s="136">
        <f ca="1">OFFSET(INDEX(Composições!A:J,MATCH(Orçamentária!A934,Composições!A:A,0),8),2,0)</f>
        <v>2.9229504999999998</v>
      </c>
      <c r="F934" s="137">
        <f t="shared" ca="1" si="42"/>
        <v>0</v>
      </c>
      <c r="G934" s="138" t="e">
        <f>IF(A934&lt;&gt;"",IF(AND(#REF!="Padrão",$H$4=#REF!),BDI!$B$17,IF(AND(#REF!="Padrão",$H$4=#REF!),BDI!#REF!,IF(AND(#REF!="Diferenciado",$H$4=#REF!),BDI!$E$17,IF(AND(#REF!="Diferenciado",$H$4=#REF!),BDI!#REF!,IF(#REF!="ZERO",0))))),"")</f>
        <v>#REF!</v>
      </c>
      <c r="H934" s="139" t="e">
        <f t="shared" ca="1" si="43"/>
        <v>#REF!</v>
      </c>
      <c r="I934" s="137" t="e">
        <f t="shared" ca="1" si="44"/>
        <v>#REF!</v>
      </c>
    </row>
    <row r="935" spans="1:9" hidden="1" x14ac:dyDescent="0.25">
      <c r="A935" s="114" t="s">
        <v>1031</v>
      </c>
      <c r="B935" s="115" t="s">
        <v>2957</v>
      </c>
      <c r="C935" s="116" t="s">
        <v>94</v>
      </c>
      <c r="D935" s="116">
        <v>0</v>
      </c>
      <c r="E935" s="136">
        <f ca="1">OFFSET(INDEX(Composições!A:J,MATCH(Orçamentária!A935,Composições!A:A,0),8),2,0)</f>
        <v>3.4778264999999999</v>
      </c>
      <c r="F935" s="137">
        <f t="shared" ca="1" si="42"/>
        <v>0</v>
      </c>
      <c r="G935" s="138" t="e">
        <f>IF(A935&lt;&gt;"",IF(AND(#REF!="Padrão",$H$4=#REF!),BDI!$B$17,IF(AND(#REF!="Padrão",$H$4=#REF!),BDI!#REF!,IF(AND(#REF!="Diferenciado",$H$4=#REF!),BDI!$E$17,IF(AND(#REF!="Diferenciado",$H$4=#REF!),BDI!#REF!,IF(#REF!="ZERO",0))))),"")</f>
        <v>#REF!</v>
      </c>
      <c r="H935" s="139" t="e">
        <f t="shared" ca="1" si="43"/>
        <v>#REF!</v>
      </c>
      <c r="I935" s="137" t="e">
        <f t="shared" ca="1" si="44"/>
        <v>#REF!</v>
      </c>
    </row>
    <row r="936" spans="1:9" hidden="1" x14ac:dyDescent="0.25">
      <c r="A936" s="114" t="s">
        <v>1033</v>
      </c>
      <c r="B936" s="115" t="s">
        <v>2958</v>
      </c>
      <c r="C936" s="116" t="s">
        <v>94</v>
      </c>
      <c r="D936" s="116">
        <v>0</v>
      </c>
      <c r="E936" s="136">
        <f ca="1">OFFSET(INDEX(Composições!A:J,MATCH(Orçamentária!A936,Composições!A:A,0),8),2,0)</f>
        <v>4.1912384999999999</v>
      </c>
      <c r="F936" s="137">
        <f t="shared" ca="1" si="42"/>
        <v>0</v>
      </c>
      <c r="G936" s="138" t="e">
        <f>IF(A936&lt;&gt;"",IF(AND(#REF!="Padrão",$H$4=#REF!),BDI!$B$17,IF(AND(#REF!="Padrão",$H$4=#REF!),BDI!#REF!,IF(AND(#REF!="Diferenciado",$H$4=#REF!),BDI!$E$17,IF(AND(#REF!="Diferenciado",$H$4=#REF!),BDI!#REF!,IF(#REF!="ZERO",0))))),"")</f>
        <v>#REF!</v>
      </c>
      <c r="H936" s="139" t="e">
        <f t="shared" ca="1" si="43"/>
        <v>#REF!</v>
      </c>
      <c r="I936" s="137" t="e">
        <f t="shared" ca="1" si="44"/>
        <v>#REF!</v>
      </c>
    </row>
    <row r="937" spans="1:9" hidden="1" x14ac:dyDescent="0.25">
      <c r="A937" s="114" t="s">
        <v>1035</v>
      </c>
      <c r="B937" s="115" t="s">
        <v>2959</v>
      </c>
      <c r="C937" s="116" t="s">
        <v>94</v>
      </c>
      <c r="D937" s="116">
        <v>0</v>
      </c>
      <c r="E937" s="136">
        <f ca="1">OFFSET(INDEX(Composições!A:J,MATCH(Orçamentária!A937,Composições!A:A,0),8),2,0)</f>
        <v>5.1028205</v>
      </c>
      <c r="F937" s="137">
        <f t="shared" ca="1" si="42"/>
        <v>0</v>
      </c>
      <c r="G937" s="138" t="e">
        <f>IF(A937&lt;&gt;"",IF(AND(#REF!="Padrão",$H$4=#REF!),BDI!$B$17,IF(AND(#REF!="Padrão",$H$4=#REF!),BDI!#REF!,IF(AND(#REF!="Diferenciado",$H$4=#REF!),BDI!$E$17,IF(AND(#REF!="Diferenciado",$H$4=#REF!),BDI!#REF!,IF(#REF!="ZERO",0))))),"")</f>
        <v>#REF!</v>
      </c>
      <c r="H937" s="139" t="e">
        <f t="shared" ca="1" si="43"/>
        <v>#REF!</v>
      </c>
      <c r="I937" s="137" t="e">
        <f t="shared" ca="1" si="44"/>
        <v>#REF!</v>
      </c>
    </row>
    <row r="938" spans="1:9" hidden="1" x14ac:dyDescent="0.25">
      <c r="A938" s="114" t="s">
        <v>1037</v>
      </c>
      <c r="B938" s="115" t="s">
        <v>2960</v>
      </c>
      <c r="C938" s="116" t="s">
        <v>94</v>
      </c>
      <c r="D938" s="116">
        <v>0</v>
      </c>
      <c r="E938" s="136">
        <f ca="1">OFFSET(INDEX(Composições!A:J,MATCH(Orçamentária!A938,Composições!A:A,0),8),2,0)</f>
        <v>6.0540365000000005</v>
      </c>
      <c r="F938" s="137">
        <f t="shared" ca="1" si="42"/>
        <v>0</v>
      </c>
      <c r="G938" s="138" t="e">
        <f>IF(A938&lt;&gt;"",IF(AND(#REF!="Padrão",$H$4=#REF!),BDI!$B$17,IF(AND(#REF!="Padrão",$H$4=#REF!),BDI!#REF!,IF(AND(#REF!="Diferenciado",$H$4=#REF!),BDI!$E$17,IF(AND(#REF!="Diferenciado",$H$4=#REF!),BDI!#REF!,IF(#REF!="ZERO",0))))),"")</f>
        <v>#REF!</v>
      </c>
      <c r="H938" s="139" t="e">
        <f t="shared" ca="1" si="43"/>
        <v>#REF!</v>
      </c>
      <c r="I938" s="137" t="e">
        <f t="shared" ca="1" si="44"/>
        <v>#REF!</v>
      </c>
    </row>
    <row r="939" spans="1:9" hidden="1" x14ac:dyDescent="0.25">
      <c r="A939" s="114" t="s">
        <v>1039</v>
      </c>
      <c r="B939" s="115" t="s">
        <v>2961</v>
      </c>
      <c r="C939" s="116" t="s">
        <v>94</v>
      </c>
      <c r="D939" s="116">
        <v>0</v>
      </c>
      <c r="E939" s="136">
        <f ca="1">OFFSET(INDEX(Composições!A:J,MATCH(Orçamentária!A939,Composições!A:A,0),8),2,0)</f>
        <v>7.1241544999999995</v>
      </c>
      <c r="F939" s="137">
        <f t="shared" ca="1" si="42"/>
        <v>0</v>
      </c>
      <c r="G939" s="138" t="e">
        <f>IF(A939&lt;&gt;"",IF(AND(#REF!="Padrão",$H$4=#REF!),BDI!$B$17,IF(AND(#REF!="Padrão",$H$4=#REF!),BDI!#REF!,IF(AND(#REF!="Diferenciado",$H$4=#REF!),BDI!$E$17,IF(AND(#REF!="Diferenciado",$H$4=#REF!),BDI!#REF!,IF(#REF!="ZERO",0))))),"")</f>
        <v>#REF!</v>
      </c>
      <c r="H939" s="139" t="e">
        <f t="shared" ca="1" si="43"/>
        <v>#REF!</v>
      </c>
      <c r="I939" s="137" t="e">
        <f t="shared" ca="1" si="44"/>
        <v>#REF!</v>
      </c>
    </row>
    <row r="940" spans="1:9" hidden="1" x14ac:dyDescent="0.25">
      <c r="A940" s="114" t="s">
        <v>1041</v>
      </c>
      <c r="B940" s="115" t="s">
        <v>2962</v>
      </c>
      <c r="C940" s="116" t="s">
        <v>94</v>
      </c>
      <c r="D940" s="116">
        <v>0</v>
      </c>
      <c r="E940" s="136">
        <f ca="1">OFFSET(INDEX(Composições!A:J,MATCH(Orçamentária!A940,Composições!A:A,0),8),2,0)</f>
        <v>8.4320765000000009</v>
      </c>
      <c r="F940" s="137">
        <f t="shared" ca="1" si="42"/>
        <v>0</v>
      </c>
      <c r="G940" s="138" t="e">
        <f>IF(A940&lt;&gt;"",IF(AND(#REF!="Padrão",$H$4=#REF!),BDI!$B$17,IF(AND(#REF!="Padrão",$H$4=#REF!),BDI!#REF!,IF(AND(#REF!="Diferenciado",$H$4=#REF!),BDI!$E$17,IF(AND(#REF!="Diferenciado",$H$4=#REF!),BDI!#REF!,IF(#REF!="ZERO",0))))),"")</f>
        <v>#REF!</v>
      </c>
      <c r="H940" s="139" t="e">
        <f t="shared" ca="1" si="43"/>
        <v>#REF!</v>
      </c>
      <c r="I940" s="137" t="e">
        <f t="shared" ca="1" si="44"/>
        <v>#REF!</v>
      </c>
    </row>
    <row r="941" spans="1:9" hidden="1" x14ac:dyDescent="0.25">
      <c r="A941" s="114" t="s">
        <v>1043</v>
      </c>
      <c r="B941" s="115" t="s">
        <v>2963</v>
      </c>
      <c r="C941" s="116" t="s">
        <v>94</v>
      </c>
      <c r="D941" s="116">
        <v>0</v>
      </c>
      <c r="E941" s="136">
        <f ca="1">OFFSET(INDEX(Composições!A:J,MATCH(Orçamentária!A941,Composições!A:A,0),8),2,0)</f>
        <v>2.5662444999999998</v>
      </c>
      <c r="F941" s="137">
        <f t="shared" ca="1" si="42"/>
        <v>0</v>
      </c>
      <c r="G941" s="138" t="e">
        <f>IF(A941&lt;&gt;"",IF(AND(#REF!="Padrão",$H$4=#REF!),BDI!$B$17,IF(AND(#REF!="Padrão",$H$4=#REF!),BDI!#REF!,IF(AND(#REF!="Diferenciado",$H$4=#REF!),BDI!$E$17,IF(AND(#REF!="Diferenciado",$H$4=#REF!),BDI!#REF!,IF(#REF!="ZERO",0))))),"")</f>
        <v>#REF!</v>
      </c>
      <c r="H941" s="139" t="e">
        <f t="shared" ca="1" si="43"/>
        <v>#REF!</v>
      </c>
      <c r="I941" s="137" t="e">
        <f t="shared" ca="1" si="44"/>
        <v>#REF!</v>
      </c>
    </row>
    <row r="942" spans="1:9" hidden="1" x14ac:dyDescent="0.25">
      <c r="A942" s="114" t="s">
        <v>1045</v>
      </c>
      <c r="B942" s="115" t="s">
        <v>2964</v>
      </c>
      <c r="C942" s="116" t="s">
        <v>96</v>
      </c>
      <c r="D942" s="116">
        <v>0</v>
      </c>
      <c r="E942" s="136">
        <f ca="1">OFFSET(INDEX(Composições!A:J,MATCH(Orçamentária!A942,Composições!A:A,0),8),2,0)</f>
        <v>7.6052483546099996</v>
      </c>
      <c r="F942" s="137">
        <f t="shared" ca="1" si="42"/>
        <v>0</v>
      </c>
      <c r="G942" s="138" t="e">
        <f>IF(A942&lt;&gt;"",IF(AND(#REF!="Padrão",$H$4=#REF!),BDI!$B$17,IF(AND(#REF!="Padrão",$H$4=#REF!),BDI!#REF!,IF(AND(#REF!="Diferenciado",$H$4=#REF!),BDI!$E$17,IF(AND(#REF!="Diferenciado",$H$4=#REF!),BDI!#REF!,IF(#REF!="ZERO",0))))),"")</f>
        <v>#REF!</v>
      </c>
      <c r="H942" s="139" t="e">
        <f t="shared" ca="1" si="43"/>
        <v>#REF!</v>
      </c>
      <c r="I942" s="137" t="e">
        <f t="shared" ca="1" si="44"/>
        <v>#REF!</v>
      </c>
    </row>
    <row r="943" spans="1:9" hidden="1" x14ac:dyDescent="0.25">
      <c r="A943" s="114" t="s">
        <v>1049</v>
      </c>
      <c r="B943" s="115" t="s">
        <v>2965</v>
      </c>
      <c r="C943" s="116" t="s">
        <v>94</v>
      </c>
      <c r="D943" s="116">
        <v>0</v>
      </c>
      <c r="E943" s="136">
        <f ca="1">OFFSET(INDEX(Composições!A:J,MATCH(Orçamentária!A943,Composições!A:A,0),8),2,0)</f>
        <v>14.069359031399999</v>
      </c>
      <c r="F943" s="137">
        <f t="shared" ca="1" si="42"/>
        <v>0</v>
      </c>
      <c r="G943" s="138" t="e">
        <f>IF(A943&lt;&gt;"",IF(AND(#REF!="Padrão",$H$4=#REF!),BDI!$B$17,IF(AND(#REF!="Padrão",$H$4=#REF!),BDI!#REF!,IF(AND(#REF!="Diferenciado",$H$4=#REF!),BDI!$E$17,IF(AND(#REF!="Diferenciado",$H$4=#REF!),BDI!#REF!,IF(#REF!="ZERO",0))))),"")</f>
        <v>#REF!</v>
      </c>
      <c r="H943" s="139" t="e">
        <f t="shared" ca="1" si="43"/>
        <v>#REF!</v>
      </c>
      <c r="I943" s="137" t="e">
        <f t="shared" ca="1" si="44"/>
        <v>#REF!</v>
      </c>
    </row>
    <row r="944" spans="1:9" hidden="1" x14ac:dyDescent="0.25">
      <c r="A944" s="114" t="s">
        <v>2966</v>
      </c>
      <c r="B944" s="115" t="s">
        <v>2967</v>
      </c>
      <c r="C944" s="116" t="s">
        <v>20</v>
      </c>
      <c r="D944" s="116">
        <v>0</v>
      </c>
      <c r="E944" s="136" t="s">
        <v>572</v>
      </c>
      <c r="F944" s="137" t="str">
        <f t="shared" si="42"/>
        <v/>
      </c>
      <c r="G944" s="138" t="e">
        <f>IF(A944&lt;&gt;"",IF(AND(#REF!="Padrão",$H$4=#REF!),BDI!$B$17,IF(AND(#REF!="Padrão",$H$4=#REF!),BDI!#REF!,IF(AND(#REF!="Diferenciado",$H$4=#REF!),BDI!$E$17,IF(AND(#REF!="Diferenciado",$H$4=#REF!),BDI!#REF!,IF(#REF!="ZERO",0))))),"")</f>
        <v>#REF!</v>
      </c>
      <c r="H944" s="139" t="str">
        <f t="shared" si="43"/>
        <v/>
      </c>
      <c r="I944" s="137" t="str">
        <f t="shared" si="44"/>
        <v/>
      </c>
    </row>
    <row r="945" spans="1:9" hidden="1" x14ac:dyDescent="0.25">
      <c r="A945" s="114" t="s">
        <v>1050</v>
      </c>
      <c r="B945" s="115" t="s">
        <v>2968</v>
      </c>
      <c r="C945" s="116" t="s">
        <v>1608</v>
      </c>
      <c r="D945" s="116">
        <v>0</v>
      </c>
      <c r="E945" s="136">
        <f ca="1">OFFSET(INDEX(Composições!A:J,MATCH(Orçamentária!A945,Composições!A:A,0),8),2,0)</f>
        <v>3.8031730000000001</v>
      </c>
      <c r="F945" s="137">
        <f t="shared" ca="1" si="42"/>
        <v>0</v>
      </c>
      <c r="G945" s="138" t="e">
        <f>IF(A945&lt;&gt;"",IF(AND(#REF!="Padrão",$H$4=#REF!),BDI!$B$17,IF(AND(#REF!="Padrão",$H$4=#REF!),BDI!#REF!,IF(AND(#REF!="Diferenciado",$H$4=#REF!),BDI!$E$17,IF(AND(#REF!="Diferenciado",$H$4=#REF!),BDI!#REF!,IF(#REF!="ZERO",0))))),"")</f>
        <v>#REF!</v>
      </c>
      <c r="H945" s="139" t="e">
        <f t="shared" ca="1" si="43"/>
        <v>#REF!</v>
      </c>
      <c r="I945" s="137" t="e">
        <f t="shared" ca="1" si="44"/>
        <v>#REF!</v>
      </c>
    </row>
    <row r="946" spans="1:9" hidden="1" x14ac:dyDescent="0.25">
      <c r="A946" s="114" t="s">
        <v>2969</v>
      </c>
      <c r="B946" s="115" t="s">
        <v>2970</v>
      </c>
      <c r="C946" s="116" t="s">
        <v>2823</v>
      </c>
      <c r="D946" s="116">
        <v>0</v>
      </c>
      <c r="E946" s="136" t="s">
        <v>572</v>
      </c>
      <c r="F946" s="137" t="str">
        <f t="shared" si="42"/>
        <v/>
      </c>
      <c r="G946" s="138" t="e">
        <f>IF(A946&lt;&gt;"",IF(AND(#REF!="Padrão",$H$4=#REF!),BDI!$B$17,IF(AND(#REF!="Padrão",$H$4=#REF!),BDI!#REF!,IF(AND(#REF!="Diferenciado",$H$4=#REF!),BDI!$E$17,IF(AND(#REF!="Diferenciado",$H$4=#REF!),BDI!#REF!,IF(#REF!="ZERO",0))))),"")</f>
        <v>#REF!</v>
      </c>
      <c r="H946" s="139" t="str">
        <f t="shared" si="43"/>
        <v/>
      </c>
      <c r="I946" s="137" t="str">
        <f t="shared" si="44"/>
        <v/>
      </c>
    </row>
    <row r="947" spans="1:9" hidden="1" x14ac:dyDescent="0.25">
      <c r="A947" s="114" t="s">
        <v>1056</v>
      </c>
      <c r="B947" s="115" t="s">
        <v>2971</v>
      </c>
      <c r="C947" s="116" t="s">
        <v>20</v>
      </c>
      <c r="D947" s="116">
        <v>0</v>
      </c>
      <c r="E947" s="136">
        <f ca="1">OFFSET(INDEX(Composições!A:J,MATCH(Orçamentária!A947,Composições!A:A,0),8),2,0)</f>
        <v>144.42374999999998</v>
      </c>
      <c r="F947" s="137">
        <f t="shared" ca="1" si="42"/>
        <v>0</v>
      </c>
      <c r="G947" s="138" t="e">
        <f>IF(A947&lt;&gt;"",IF(AND(#REF!="Padrão",$H$4=#REF!),BDI!$B$17,IF(AND(#REF!="Padrão",$H$4=#REF!),BDI!#REF!,IF(AND(#REF!="Diferenciado",$H$4=#REF!),BDI!$E$17,IF(AND(#REF!="Diferenciado",$H$4=#REF!),BDI!#REF!,IF(#REF!="ZERO",0))))),"")</f>
        <v>#REF!</v>
      </c>
      <c r="H947" s="139" t="e">
        <f t="shared" ca="1" si="43"/>
        <v>#REF!</v>
      </c>
      <c r="I947" s="137" t="e">
        <f t="shared" ca="1" si="44"/>
        <v>#REF!</v>
      </c>
    </row>
    <row r="948" spans="1:9" hidden="1" x14ac:dyDescent="0.25">
      <c r="A948" s="114" t="s">
        <v>1057</v>
      </c>
      <c r="B948" s="115" t="s">
        <v>2972</v>
      </c>
      <c r="C948" s="116" t="s">
        <v>20</v>
      </c>
      <c r="D948" s="116">
        <v>0</v>
      </c>
      <c r="E948" s="136">
        <f ca="1">OFFSET(INDEX(Composições!A:J,MATCH(Orçamentária!A948,Composições!A:A,0),8),2,0)</f>
        <v>29.958098</v>
      </c>
      <c r="F948" s="137">
        <f t="shared" ca="1" si="42"/>
        <v>0</v>
      </c>
      <c r="G948" s="138" t="e">
        <f>IF(A948&lt;&gt;"",IF(AND(#REF!="Padrão",$H$4=#REF!),BDI!$B$17,IF(AND(#REF!="Padrão",$H$4=#REF!),BDI!#REF!,IF(AND(#REF!="Diferenciado",$H$4=#REF!),BDI!$E$17,IF(AND(#REF!="Diferenciado",$H$4=#REF!),BDI!#REF!,IF(#REF!="ZERO",0))))),"")</f>
        <v>#REF!</v>
      </c>
      <c r="H948" s="139" t="e">
        <f t="shared" ca="1" si="43"/>
        <v>#REF!</v>
      </c>
      <c r="I948" s="137" t="e">
        <f t="shared" ca="1" si="44"/>
        <v>#REF!</v>
      </c>
    </row>
    <row r="949" spans="1:9" hidden="1" x14ac:dyDescent="0.25">
      <c r="A949" s="114" t="s">
        <v>1059</v>
      </c>
      <c r="B949" s="115" t="s">
        <v>2973</v>
      </c>
      <c r="C949" s="116" t="s">
        <v>20</v>
      </c>
      <c r="D949" s="116">
        <v>0</v>
      </c>
      <c r="E949" s="136">
        <f ca="1">OFFSET(INDEX(Composições!A:J,MATCH(Orçamentária!A949,Composições!A:A,0),8),2,0)</f>
        <v>7.8801930000000002</v>
      </c>
      <c r="F949" s="137">
        <f t="shared" ca="1" si="42"/>
        <v>0</v>
      </c>
      <c r="G949" s="138" t="e">
        <f>IF(A949&lt;&gt;"",IF(AND(#REF!="Padrão",$H$4=#REF!),BDI!$B$17,IF(AND(#REF!="Padrão",$H$4=#REF!),BDI!#REF!,IF(AND(#REF!="Diferenciado",$H$4=#REF!),BDI!$E$17,IF(AND(#REF!="Diferenciado",$H$4=#REF!),BDI!#REF!,IF(#REF!="ZERO",0))))),"")</f>
        <v>#REF!</v>
      </c>
      <c r="H949" s="139" t="e">
        <f t="shared" ca="1" si="43"/>
        <v>#REF!</v>
      </c>
      <c r="I949" s="137" t="e">
        <f t="shared" ca="1" si="44"/>
        <v>#REF!</v>
      </c>
    </row>
    <row r="950" spans="1:9" hidden="1" x14ac:dyDescent="0.25">
      <c r="A950" s="114" t="s">
        <v>2974</v>
      </c>
      <c r="B950" s="115" t="s">
        <v>2975</v>
      </c>
      <c r="C950" s="116" t="s">
        <v>20</v>
      </c>
      <c r="D950" s="116">
        <v>0</v>
      </c>
      <c r="E950" s="136" t="s">
        <v>572</v>
      </c>
      <c r="F950" s="137" t="str">
        <f t="shared" si="42"/>
        <v/>
      </c>
      <c r="G950" s="138" t="e">
        <f>IF(A950&lt;&gt;"",IF(AND(#REF!="Padrão",$H$4=#REF!),BDI!$B$17,IF(AND(#REF!="Padrão",$H$4=#REF!),BDI!#REF!,IF(AND(#REF!="Diferenciado",$H$4=#REF!),BDI!$E$17,IF(AND(#REF!="Diferenciado",$H$4=#REF!),BDI!#REF!,IF(#REF!="ZERO",0))))),"")</f>
        <v>#REF!</v>
      </c>
      <c r="H950" s="139" t="str">
        <f t="shared" si="43"/>
        <v/>
      </c>
      <c r="I950" s="137" t="str">
        <f t="shared" si="44"/>
        <v/>
      </c>
    </row>
    <row r="951" spans="1:9" hidden="1" x14ac:dyDescent="0.25">
      <c r="A951" s="114" t="s">
        <v>1061</v>
      </c>
      <c r="B951" s="115" t="s">
        <v>2976</v>
      </c>
      <c r="C951" s="116" t="s">
        <v>20</v>
      </c>
      <c r="D951" s="116">
        <v>0</v>
      </c>
      <c r="E951" s="136">
        <f ca="1">OFFSET(INDEX(Composições!A:J,MATCH(Orçamentária!A951,Composições!A:A,0),8),2,0)</f>
        <v>315.51694688939796</v>
      </c>
      <c r="F951" s="137">
        <f t="shared" ca="1" si="42"/>
        <v>0</v>
      </c>
      <c r="G951" s="138" t="e">
        <f>IF(A951&lt;&gt;"",IF(AND(#REF!="Padrão",$H$4=#REF!),BDI!$B$17,IF(AND(#REF!="Padrão",$H$4=#REF!),BDI!#REF!,IF(AND(#REF!="Diferenciado",$H$4=#REF!),BDI!$E$17,IF(AND(#REF!="Diferenciado",$H$4=#REF!),BDI!#REF!,IF(#REF!="ZERO",0))))),"")</f>
        <v>#REF!</v>
      </c>
      <c r="H951" s="139" t="e">
        <f t="shared" ca="1" si="43"/>
        <v>#REF!</v>
      </c>
      <c r="I951" s="137" t="e">
        <f t="shared" ca="1" si="44"/>
        <v>#REF!</v>
      </c>
    </row>
    <row r="952" spans="1:9" hidden="1" x14ac:dyDescent="0.25">
      <c r="A952" s="114" t="s">
        <v>1064</v>
      </c>
      <c r="B952" s="115" t="s">
        <v>2977</v>
      </c>
      <c r="C952" s="116" t="s">
        <v>2978</v>
      </c>
      <c r="D952" s="116">
        <v>0</v>
      </c>
      <c r="E952" s="136">
        <f ca="1">OFFSET(INDEX(Composições!A:J,MATCH(Orçamentária!A952,Composições!A:A,0),8),2,0)</f>
        <v>91.96</v>
      </c>
      <c r="F952" s="137">
        <f t="shared" ca="1" si="42"/>
        <v>0</v>
      </c>
      <c r="G952" s="138" t="e">
        <f>IF(A952&lt;&gt;"",IF(AND(#REF!="Padrão",$H$4=#REF!),BDI!$B$17,IF(AND(#REF!="Padrão",$H$4=#REF!),BDI!#REF!,IF(AND(#REF!="Diferenciado",$H$4=#REF!),BDI!$E$17,IF(AND(#REF!="Diferenciado",$H$4=#REF!),BDI!#REF!,IF(#REF!="ZERO",0))))),"")</f>
        <v>#REF!</v>
      </c>
      <c r="H952" s="139" t="e">
        <f t="shared" ca="1" si="43"/>
        <v>#REF!</v>
      </c>
      <c r="I952" s="137" t="e">
        <f t="shared" ca="1" si="44"/>
        <v>#REF!</v>
      </c>
    </row>
    <row r="953" spans="1:9" hidden="1" x14ac:dyDescent="0.25">
      <c r="A953" s="114" t="s">
        <v>1066</v>
      </c>
      <c r="B953" s="115" t="s">
        <v>2979</v>
      </c>
      <c r="C953" s="116" t="s">
        <v>2980</v>
      </c>
      <c r="D953" s="116">
        <v>0</v>
      </c>
      <c r="E953" s="136">
        <f ca="1">OFFSET(INDEX(Composições!A:J,MATCH(Orçamentária!A953,Composições!A:A,0),8),2,0)</f>
        <v>570</v>
      </c>
      <c r="F953" s="137">
        <f t="shared" ca="1" si="42"/>
        <v>0</v>
      </c>
      <c r="G953" s="138" t="e">
        <f>IF(A953&lt;&gt;"",IF(AND(#REF!="Padrão",$H$4=#REF!),BDI!$B$17,IF(AND(#REF!="Padrão",$H$4=#REF!),BDI!#REF!,IF(AND(#REF!="Diferenciado",$H$4=#REF!),BDI!$E$17,IF(AND(#REF!="Diferenciado",$H$4=#REF!),BDI!#REF!,IF(#REF!="ZERO",0))))),"")</f>
        <v>#REF!</v>
      </c>
      <c r="H953" s="139" t="e">
        <f t="shared" ca="1" si="43"/>
        <v>#REF!</v>
      </c>
      <c r="I953" s="137" t="e">
        <f t="shared" ca="1" si="44"/>
        <v>#REF!</v>
      </c>
    </row>
    <row r="954" spans="1:9" hidden="1" x14ac:dyDescent="0.25">
      <c r="A954" s="114" t="s">
        <v>2981</v>
      </c>
      <c r="B954" s="115" t="s">
        <v>2982</v>
      </c>
      <c r="C954" s="116" t="s">
        <v>2980</v>
      </c>
      <c r="D954" s="116">
        <v>0</v>
      </c>
      <c r="E954" s="136" t="s">
        <v>572</v>
      </c>
      <c r="F954" s="137" t="str">
        <f t="shared" si="42"/>
        <v/>
      </c>
      <c r="G954" s="138" t="e">
        <f>IF(A954&lt;&gt;"",IF(AND(#REF!="Padrão",$H$4=#REF!),BDI!$B$17,IF(AND(#REF!="Padrão",$H$4=#REF!),BDI!#REF!,IF(AND(#REF!="Diferenciado",$H$4=#REF!),BDI!$E$17,IF(AND(#REF!="Diferenciado",$H$4=#REF!),BDI!#REF!,IF(#REF!="ZERO",0))))),"")</f>
        <v>#REF!</v>
      </c>
      <c r="H954" s="139" t="str">
        <f t="shared" si="43"/>
        <v/>
      </c>
      <c r="I954" s="137" t="str">
        <f t="shared" si="44"/>
        <v/>
      </c>
    </row>
    <row r="955" spans="1:9" hidden="1" x14ac:dyDescent="0.25">
      <c r="A955" s="114" t="s">
        <v>1068</v>
      </c>
      <c r="B955" s="115" t="s">
        <v>2983</v>
      </c>
      <c r="C955" s="116" t="s">
        <v>96</v>
      </c>
      <c r="D955" s="116">
        <v>0</v>
      </c>
      <c r="E955" s="136">
        <f ca="1">OFFSET(INDEX(Composições!A:J,MATCH(Orçamentária!A955,Composições!A:A,0),8),2,0)</f>
        <v>1.4664010000000001</v>
      </c>
      <c r="F955" s="137">
        <f t="shared" ca="1" si="42"/>
        <v>0</v>
      </c>
      <c r="G955" s="138" t="e">
        <f>IF(A955&lt;&gt;"",IF(AND(#REF!="Padrão",$H$4=#REF!),BDI!$B$17,IF(AND(#REF!="Padrão",$H$4=#REF!),BDI!#REF!,IF(AND(#REF!="Diferenciado",$H$4=#REF!),BDI!$E$17,IF(AND(#REF!="Diferenciado",$H$4=#REF!),BDI!#REF!,IF(#REF!="ZERO",0))))),"")</f>
        <v>#REF!</v>
      </c>
      <c r="H955" s="139" t="e">
        <f t="shared" ca="1" si="43"/>
        <v>#REF!</v>
      </c>
      <c r="I955" s="137" t="e">
        <f t="shared" ca="1" si="44"/>
        <v>#REF!</v>
      </c>
    </row>
    <row r="956" spans="1:9" hidden="1" x14ac:dyDescent="0.25">
      <c r="A956" s="114" t="s">
        <v>1070</v>
      </c>
      <c r="B956" s="115" t="s">
        <v>2984</v>
      </c>
      <c r="C956" s="116" t="s">
        <v>96</v>
      </c>
      <c r="D956" s="116">
        <v>0</v>
      </c>
      <c r="E956" s="136">
        <f ca="1">OFFSET(INDEX(Composições!A:J,MATCH(Orçamentária!A956,Composições!A:A,0),8),2,0)</f>
        <v>4.6051250000000001</v>
      </c>
      <c r="F956" s="137">
        <f t="shared" ca="1" si="42"/>
        <v>0</v>
      </c>
      <c r="G956" s="138" t="e">
        <f>IF(A956&lt;&gt;"",IF(AND(#REF!="Padrão",$H$4=#REF!),BDI!$B$17,IF(AND(#REF!="Padrão",$H$4=#REF!),BDI!#REF!,IF(AND(#REF!="Diferenciado",$H$4=#REF!),BDI!$E$17,IF(AND(#REF!="Diferenciado",$H$4=#REF!),BDI!#REF!,IF(#REF!="ZERO",0))))),"")</f>
        <v>#REF!</v>
      </c>
      <c r="H956" s="139" t="e">
        <f t="shared" ca="1" si="43"/>
        <v>#REF!</v>
      </c>
      <c r="I956" s="137" t="e">
        <f t="shared" ca="1" si="44"/>
        <v>#REF!</v>
      </c>
    </row>
    <row r="957" spans="1:9" hidden="1" x14ac:dyDescent="0.25">
      <c r="A957" s="114" t="s">
        <v>1071</v>
      </c>
      <c r="B957" s="115" t="s">
        <v>2985</v>
      </c>
      <c r="C957" s="116" t="s">
        <v>96</v>
      </c>
      <c r="D957" s="116">
        <v>0</v>
      </c>
      <c r="E957" s="136">
        <f ca="1">OFFSET(INDEX(Composições!A:J,MATCH(Orçamentária!A957,Composições!A:A,0),8),2,0)</f>
        <v>20.389375000000001</v>
      </c>
      <c r="F957" s="137">
        <f t="shared" ca="1" si="42"/>
        <v>0</v>
      </c>
      <c r="G957" s="138" t="e">
        <f>IF(A957&lt;&gt;"",IF(AND(#REF!="Padrão",$H$4=#REF!),BDI!$B$17,IF(AND(#REF!="Padrão",$H$4=#REF!),BDI!#REF!,IF(AND(#REF!="Diferenciado",$H$4=#REF!),BDI!$E$17,IF(AND(#REF!="Diferenciado",$H$4=#REF!),BDI!#REF!,IF(#REF!="ZERO",0))))),"")</f>
        <v>#REF!</v>
      </c>
      <c r="H957" s="139" t="e">
        <f t="shared" ca="1" si="43"/>
        <v>#REF!</v>
      </c>
      <c r="I957" s="137" t="e">
        <f t="shared" ca="1" si="44"/>
        <v>#REF!</v>
      </c>
    </row>
    <row r="958" spans="1:9" hidden="1" x14ac:dyDescent="0.25">
      <c r="A958" s="114" t="s">
        <v>1072</v>
      </c>
      <c r="B958" s="115" t="s">
        <v>2986</v>
      </c>
      <c r="C958" s="116" t="s">
        <v>96</v>
      </c>
      <c r="D958" s="116">
        <v>0</v>
      </c>
      <c r="E958" s="136">
        <f ca="1">OFFSET(INDEX(Composições!A:J,MATCH(Orçamentária!A958,Composições!A:A,0),8),2,0)</f>
        <v>39.263699500000001</v>
      </c>
      <c r="F958" s="137">
        <f t="shared" ca="1" si="42"/>
        <v>0</v>
      </c>
      <c r="G958" s="138" t="e">
        <f>IF(A958&lt;&gt;"",IF(AND(#REF!="Padrão",$H$4=#REF!),BDI!$B$17,IF(AND(#REF!="Padrão",$H$4=#REF!),BDI!#REF!,IF(AND(#REF!="Diferenciado",$H$4=#REF!),BDI!$E$17,IF(AND(#REF!="Diferenciado",$H$4=#REF!),BDI!#REF!,IF(#REF!="ZERO",0))))),"")</f>
        <v>#REF!</v>
      </c>
      <c r="H958" s="139" t="e">
        <f t="shared" ca="1" si="43"/>
        <v>#REF!</v>
      </c>
      <c r="I958" s="137" t="e">
        <f t="shared" ca="1" si="44"/>
        <v>#REF!</v>
      </c>
    </row>
    <row r="959" spans="1:9" hidden="1" x14ac:dyDescent="0.25">
      <c r="A959" s="114" t="s">
        <v>1076</v>
      </c>
      <c r="B959" s="115" t="s">
        <v>2987</v>
      </c>
      <c r="C959" s="116" t="s">
        <v>96</v>
      </c>
      <c r="D959" s="116">
        <v>0</v>
      </c>
      <c r="E959" s="136">
        <f ca="1">OFFSET(INDEX(Composições!A:J,MATCH(Orçamentária!A959,Composições!A:A,0),8),2,0)</f>
        <v>39.887903780625003</v>
      </c>
      <c r="F959" s="137">
        <f t="shared" ca="1" si="42"/>
        <v>0</v>
      </c>
      <c r="G959" s="138" t="e">
        <f>IF(A959&lt;&gt;"",IF(AND(#REF!="Padrão",$H$4=#REF!),BDI!$B$17,IF(AND(#REF!="Padrão",$H$4=#REF!),BDI!#REF!,IF(AND(#REF!="Diferenciado",$H$4=#REF!),BDI!$E$17,IF(AND(#REF!="Diferenciado",$H$4=#REF!),BDI!#REF!,IF(#REF!="ZERO",0))))),"")</f>
        <v>#REF!</v>
      </c>
      <c r="H959" s="139" t="e">
        <f t="shared" ca="1" si="43"/>
        <v>#REF!</v>
      </c>
      <c r="I959" s="137" t="e">
        <f t="shared" ca="1" si="44"/>
        <v>#REF!</v>
      </c>
    </row>
    <row r="960" spans="1:9" hidden="1" x14ac:dyDescent="0.25">
      <c r="A960" s="114" t="s">
        <v>1079</v>
      </c>
      <c r="B960" s="115" t="s">
        <v>2988</v>
      </c>
      <c r="C960" s="116" t="s">
        <v>96</v>
      </c>
      <c r="D960" s="116">
        <v>0</v>
      </c>
      <c r="E960" s="136">
        <f ca="1">OFFSET(INDEX(Composições!A:J,MATCH(Orçamentária!A960,Composições!A:A,0),8),2,0)</f>
        <v>52.623081280625001</v>
      </c>
      <c r="F960" s="137">
        <f t="shared" ca="1" si="42"/>
        <v>0</v>
      </c>
      <c r="G960" s="138" t="e">
        <f>IF(A960&lt;&gt;"",IF(AND(#REF!="Padrão",$H$4=#REF!),BDI!$B$17,IF(AND(#REF!="Padrão",$H$4=#REF!),BDI!#REF!,IF(AND(#REF!="Diferenciado",$H$4=#REF!),BDI!$E$17,IF(AND(#REF!="Diferenciado",$H$4=#REF!),BDI!#REF!,IF(#REF!="ZERO",0))))),"")</f>
        <v>#REF!</v>
      </c>
      <c r="H960" s="139" t="e">
        <f t="shared" ca="1" si="43"/>
        <v>#REF!</v>
      </c>
      <c r="I960" s="137" t="e">
        <f t="shared" ca="1" si="44"/>
        <v>#REF!</v>
      </c>
    </row>
    <row r="961" spans="1:9" hidden="1" x14ac:dyDescent="0.25">
      <c r="A961" s="114" t="s">
        <v>1081</v>
      </c>
      <c r="B961" s="115" t="s">
        <v>2989</v>
      </c>
      <c r="C961" s="116" t="s">
        <v>96</v>
      </c>
      <c r="D961" s="116">
        <v>0</v>
      </c>
      <c r="E961" s="136">
        <f ca="1">OFFSET(INDEX(Composições!A:J,MATCH(Orçamentária!A961,Composições!A:A,0),8),2,0)</f>
        <v>13.892800000000001</v>
      </c>
      <c r="F961" s="137">
        <f t="shared" ca="1" si="42"/>
        <v>0</v>
      </c>
      <c r="G961" s="138" t="e">
        <f>IF(A961&lt;&gt;"",IF(AND(#REF!="Padrão",$H$4=#REF!),BDI!$B$17,IF(AND(#REF!="Padrão",$H$4=#REF!),BDI!#REF!,IF(AND(#REF!="Diferenciado",$H$4=#REF!),BDI!$E$17,IF(AND(#REF!="Diferenciado",$H$4=#REF!),BDI!#REF!,IF(#REF!="ZERO",0))))),"")</f>
        <v>#REF!</v>
      </c>
      <c r="H961" s="139" t="e">
        <f t="shared" ca="1" si="43"/>
        <v>#REF!</v>
      </c>
      <c r="I961" s="137" t="e">
        <f t="shared" ca="1" si="44"/>
        <v>#REF!</v>
      </c>
    </row>
    <row r="962" spans="1:9" hidden="1" x14ac:dyDescent="0.25">
      <c r="A962" s="114" t="s">
        <v>1082</v>
      </c>
      <c r="B962" s="115" t="s">
        <v>2990</v>
      </c>
      <c r="C962" s="116" t="s">
        <v>96</v>
      </c>
      <c r="D962" s="116">
        <v>0</v>
      </c>
      <c r="E962" s="136">
        <f ca="1">OFFSET(INDEX(Composições!A:J,MATCH(Orçamentária!A962,Composições!A:A,0),8),2,0)</f>
        <v>41.678400000000003</v>
      </c>
      <c r="F962" s="137">
        <f t="shared" ca="1" si="42"/>
        <v>0</v>
      </c>
      <c r="G962" s="138" t="e">
        <f>IF(A962&lt;&gt;"",IF(AND(#REF!="Padrão",$H$4=#REF!),BDI!$B$17,IF(AND(#REF!="Padrão",$H$4=#REF!),BDI!#REF!,IF(AND(#REF!="Diferenciado",$H$4=#REF!),BDI!$E$17,IF(AND(#REF!="Diferenciado",$H$4=#REF!),BDI!#REF!,IF(#REF!="ZERO",0))))),"")</f>
        <v>#REF!</v>
      </c>
      <c r="H962" s="139" t="e">
        <f t="shared" ca="1" si="43"/>
        <v>#REF!</v>
      </c>
      <c r="I962" s="137" t="e">
        <f t="shared" ca="1" si="44"/>
        <v>#REF!</v>
      </c>
    </row>
    <row r="963" spans="1:9" hidden="1" x14ac:dyDescent="0.25">
      <c r="A963" s="114" t="s">
        <v>1083</v>
      </c>
      <c r="B963" s="115" t="s">
        <v>2991</v>
      </c>
      <c r="C963" s="116" t="s">
        <v>96</v>
      </c>
      <c r="D963" s="116">
        <v>0</v>
      </c>
      <c r="E963" s="136">
        <f ca="1">OFFSET(INDEX(Composições!A:J,MATCH(Orçamentária!A963,Composições!A:A,0),8),2,0)</f>
        <v>6.8233750000000004</v>
      </c>
      <c r="F963" s="137">
        <f t="shared" ca="1" si="42"/>
        <v>0</v>
      </c>
      <c r="G963" s="138" t="e">
        <f>IF(A963&lt;&gt;"",IF(AND(#REF!="Padrão",$H$4=#REF!),BDI!$B$17,IF(AND(#REF!="Padrão",$H$4=#REF!),BDI!#REF!,IF(AND(#REF!="Diferenciado",$H$4=#REF!),BDI!$E$17,IF(AND(#REF!="Diferenciado",$H$4=#REF!),BDI!#REF!,IF(#REF!="ZERO",0))))),"")</f>
        <v>#REF!</v>
      </c>
      <c r="H963" s="139" t="e">
        <f t="shared" ca="1" si="43"/>
        <v>#REF!</v>
      </c>
      <c r="I963" s="137" t="e">
        <f t="shared" ca="1" si="44"/>
        <v>#REF!</v>
      </c>
    </row>
    <row r="964" spans="1:9" hidden="1" x14ac:dyDescent="0.25">
      <c r="A964" s="114" t="s">
        <v>1085</v>
      </c>
      <c r="B964" s="115" t="s">
        <v>2992</v>
      </c>
      <c r="C964" s="116" t="s">
        <v>96</v>
      </c>
      <c r="D964" s="116">
        <v>0</v>
      </c>
      <c r="E964" s="136">
        <f ca="1">OFFSET(INDEX(Composições!A:J,MATCH(Orçamentária!A964,Composições!A:A,0),8),2,0)</f>
        <v>4.8934500000000005</v>
      </c>
      <c r="F964" s="137">
        <f t="shared" ca="1" si="42"/>
        <v>0</v>
      </c>
      <c r="G964" s="138" t="e">
        <f>IF(A964&lt;&gt;"",IF(AND(#REF!="Padrão",$H$4=#REF!),BDI!$B$17,IF(AND(#REF!="Padrão",$H$4=#REF!),BDI!#REF!,IF(AND(#REF!="Diferenciado",$H$4=#REF!),BDI!$E$17,IF(AND(#REF!="Diferenciado",$H$4=#REF!),BDI!#REF!,IF(#REF!="ZERO",0))))),"")</f>
        <v>#REF!</v>
      </c>
      <c r="H964" s="139" t="e">
        <f t="shared" ca="1" si="43"/>
        <v>#REF!</v>
      </c>
      <c r="I964" s="137" t="e">
        <f t="shared" ca="1" si="44"/>
        <v>#REF!</v>
      </c>
    </row>
    <row r="965" spans="1:9" ht="25.5" hidden="1" x14ac:dyDescent="0.25">
      <c r="A965" s="114" t="s">
        <v>1086</v>
      </c>
      <c r="B965" s="115" t="s">
        <v>2993</v>
      </c>
      <c r="C965" s="116" t="s">
        <v>20</v>
      </c>
      <c r="D965" s="116">
        <v>0</v>
      </c>
      <c r="E965" s="136">
        <f ca="1">OFFSET(INDEX(Composições!A:J,MATCH(Orçamentária!A965,Composições!A:A,0),8),2,0)</f>
        <v>1.6311500000000003</v>
      </c>
      <c r="F965" s="137">
        <f t="shared" ca="1" si="42"/>
        <v>0</v>
      </c>
      <c r="G965" s="138" t="e">
        <f>IF(A965&lt;&gt;"",IF(AND(#REF!="Padrão",$H$4=#REF!),BDI!$B$17,IF(AND(#REF!="Padrão",$H$4=#REF!),BDI!#REF!,IF(AND(#REF!="Diferenciado",$H$4=#REF!),BDI!$E$17,IF(AND(#REF!="Diferenciado",$H$4=#REF!),BDI!#REF!,IF(#REF!="ZERO",0))))),"")</f>
        <v>#REF!</v>
      </c>
      <c r="H965" s="139" t="e">
        <f t="shared" ca="1" si="43"/>
        <v>#REF!</v>
      </c>
      <c r="I965" s="137" t="e">
        <f t="shared" ca="1" si="44"/>
        <v>#REF!</v>
      </c>
    </row>
    <row r="966" spans="1:9" ht="25.5" hidden="1" x14ac:dyDescent="0.25">
      <c r="A966" s="114" t="s">
        <v>1087</v>
      </c>
      <c r="B966" s="115" t="s">
        <v>2994</v>
      </c>
      <c r="C966" s="116" t="s">
        <v>20</v>
      </c>
      <c r="D966" s="116">
        <v>0</v>
      </c>
      <c r="E966" s="136">
        <f ca="1">OFFSET(INDEX(Composições!A:J,MATCH(Orçamentária!A966,Composições!A:A,0),8),2,0)</f>
        <v>7.8567408254940005</v>
      </c>
      <c r="F966" s="137">
        <f t="shared" ca="1" si="42"/>
        <v>0</v>
      </c>
      <c r="G966" s="138" t="e">
        <f>IF(A966&lt;&gt;"",IF(AND(#REF!="Padrão",$H$4=#REF!),BDI!$B$17,IF(AND(#REF!="Padrão",$H$4=#REF!),BDI!#REF!,IF(AND(#REF!="Diferenciado",$H$4=#REF!),BDI!$E$17,IF(AND(#REF!="Diferenciado",$H$4=#REF!),BDI!#REF!,IF(#REF!="ZERO",0))))),"")</f>
        <v>#REF!</v>
      </c>
      <c r="H966" s="139" t="e">
        <f t="shared" ca="1" si="43"/>
        <v>#REF!</v>
      </c>
      <c r="I966" s="137" t="e">
        <f t="shared" ca="1" si="44"/>
        <v>#REF!</v>
      </c>
    </row>
    <row r="967" spans="1:9" hidden="1" x14ac:dyDescent="0.25">
      <c r="A967" s="114" t="s">
        <v>1093</v>
      </c>
      <c r="B967" s="115" t="s">
        <v>2995</v>
      </c>
      <c r="C967" s="116" t="s">
        <v>20</v>
      </c>
      <c r="D967" s="116">
        <v>0</v>
      </c>
      <c r="E967" s="136">
        <f ca="1">OFFSET(INDEX(Composições!A:J,MATCH(Orçamentária!A967,Composições!A:A,0),8),2,0)</f>
        <v>7.8567408254940005</v>
      </c>
      <c r="F967" s="137">
        <f t="shared" ref="F967:F1030" ca="1" si="45">IF(ISNUMBER(E967),D967*E967,"")</f>
        <v>0</v>
      </c>
      <c r="G967" s="138" t="e">
        <f>IF(A967&lt;&gt;"",IF(AND(#REF!="Padrão",$H$4=#REF!),BDI!$B$17,IF(AND(#REF!="Padrão",$H$4=#REF!),BDI!#REF!,IF(AND(#REF!="Diferenciado",$H$4=#REF!),BDI!$E$17,IF(AND(#REF!="Diferenciado",$H$4=#REF!),BDI!#REF!,IF(#REF!="ZERO",0))))),"")</f>
        <v>#REF!</v>
      </c>
      <c r="H967" s="139" t="e">
        <f t="shared" ref="H967:H1030" ca="1" si="46">IF(ISNUMBER(E967),ROUND(E967*(1+G967),2),"")</f>
        <v>#REF!</v>
      </c>
      <c r="I967" s="137" t="e">
        <f t="shared" ref="I967:I1030" ca="1" si="47">IF(ISNUMBER(E967),ROUND(H967*D967,2),"")</f>
        <v>#REF!</v>
      </c>
    </row>
    <row r="968" spans="1:9" hidden="1" x14ac:dyDescent="0.25">
      <c r="A968" s="114" t="s">
        <v>2996</v>
      </c>
      <c r="B968" s="115" t="s">
        <v>2997</v>
      </c>
      <c r="C968" s="116" t="s">
        <v>20</v>
      </c>
      <c r="D968" s="116">
        <v>0</v>
      </c>
      <c r="E968" s="136" t="s">
        <v>572</v>
      </c>
      <c r="F968" s="137" t="str">
        <f t="shared" si="45"/>
        <v/>
      </c>
      <c r="G968" s="138" t="e">
        <f>IF(A968&lt;&gt;"",IF(AND(#REF!="Padrão",$H$4=#REF!),BDI!$B$17,IF(AND(#REF!="Padrão",$H$4=#REF!),BDI!#REF!,IF(AND(#REF!="Diferenciado",$H$4=#REF!),BDI!$E$17,IF(AND(#REF!="Diferenciado",$H$4=#REF!),BDI!#REF!,IF(#REF!="ZERO",0))))),"")</f>
        <v>#REF!</v>
      </c>
      <c r="H968" s="139" t="str">
        <f t="shared" si="46"/>
        <v/>
      </c>
      <c r="I968" s="137" t="str">
        <f t="shared" si="47"/>
        <v/>
      </c>
    </row>
    <row r="969" spans="1:9" hidden="1" x14ac:dyDescent="0.25">
      <c r="A969" s="114" t="s">
        <v>1095</v>
      </c>
      <c r="B969" s="115" t="s">
        <v>2998</v>
      </c>
      <c r="C969" s="116" t="s">
        <v>96</v>
      </c>
      <c r="D969" s="116">
        <v>0</v>
      </c>
      <c r="E969" s="136">
        <f ca="1">OFFSET(INDEX(Composições!A:J,MATCH(Orçamentária!A969,Composições!A:A,0),8),2,0)</f>
        <v>41.306474999999999</v>
      </c>
      <c r="F969" s="137">
        <f t="shared" ca="1" si="45"/>
        <v>0</v>
      </c>
      <c r="G969" s="138" t="e">
        <f>IF(A969&lt;&gt;"",IF(AND(#REF!="Padrão",$H$4=#REF!),BDI!$B$17,IF(AND(#REF!="Padrão",$H$4=#REF!),BDI!#REF!,IF(AND(#REF!="Diferenciado",$H$4=#REF!),BDI!$E$17,IF(AND(#REF!="Diferenciado",$H$4=#REF!),BDI!#REF!,IF(#REF!="ZERO",0))))),"")</f>
        <v>#REF!</v>
      </c>
      <c r="H969" s="139" t="e">
        <f t="shared" ca="1" si="46"/>
        <v>#REF!</v>
      </c>
      <c r="I969" s="137" t="e">
        <f t="shared" ca="1" si="47"/>
        <v>#REF!</v>
      </c>
    </row>
    <row r="970" spans="1:9" hidden="1" x14ac:dyDescent="0.25">
      <c r="A970" s="114" t="s">
        <v>1097</v>
      </c>
      <c r="B970" s="115" t="s">
        <v>2999</v>
      </c>
      <c r="C970" s="116" t="s">
        <v>96</v>
      </c>
      <c r="D970" s="116">
        <v>0</v>
      </c>
      <c r="E970" s="136">
        <f ca="1">OFFSET(INDEX(Composições!A:J,MATCH(Orçamentária!A970,Composições!A:A,0),8),2,0)</f>
        <v>54.065510206373503</v>
      </c>
      <c r="F970" s="137">
        <f t="shared" ca="1" si="45"/>
        <v>0</v>
      </c>
      <c r="G970" s="138" t="e">
        <f>IF(A970&lt;&gt;"",IF(AND(#REF!="Padrão",$H$4=#REF!),BDI!$B$17,IF(AND(#REF!="Padrão",$H$4=#REF!),BDI!#REF!,IF(AND(#REF!="Diferenciado",$H$4=#REF!),BDI!$E$17,IF(AND(#REF!="Diferenciado",$H$4=#REF!),BDI!#REF!,IF(#REF!="ZERO",0))))),"")</f>
        <v>#REF!</v>
      </c>
      <c r="H970" s="139" t="e">
        <f t="shared" ca="1" si="46"/>
        <v>#REF!</v>
      </c>
      <c r="I970" s="137" t="e">
        <f t="shared" ca="1" si="47"/>
        <v>#REF!</v>
      </c>
    </row>
    <row r="971" spans="1:9" hidden="1" x14ac:dyDescent="0.25">
      <c r="A971" s="114" t="s">
        <v>1102</v>
      </c>
      <c r="B971" s="115" t="s">
        <v>3000</v>
      </c>
      <c r="C971" s="116" t="s">
        <v>96</v>
      </c>
      <c r="D971" s="116">
        <v>0</v>
      </c>
      <c r="E971" s="136">
        <f ca="1">OFFSET(INDEX(Composições!A:J,MATCH(Orçamentária!A971,Composições!A:A,0),8),2,0)</f>
        <v>41.306474999999999</v>
      </c>
      <c r="F971" s="137">
        <f t="shared" ca="1" si="45"/>
        <v>0</v>
      </c>
      <c r="G971" s="138" t="e">
        <f>IF(A971&lt;&gt;"",IF(AND(#REF!="Padrão",$H$4=#REF!),BDI!$B$17,IF(AND(#REF!="Padrão",$H$4=#REF!),BDI!#REF!,IF(AND(#REF!="Diferenciado",$H$4=#REF!),BDI!$E$17,IF(AND(#REF!="Diferenciado",$H$4=#REF!),BDI!#REF!,IF(#REF!="ZERO",0))))),"")</f>
        <v>#REF!</v>
      </c>
      <c r="H971" s="139" t="e">
        <f t="shared" ca="1" si="46"/>
        <v>#REF!</v>
      </c>
      <c r="I971" s="137" t="e">
        <f t="shared" ca="1" si="47"/>
        <v>#REF!</v>
      </c>
    </row>
    <row r="972" spans="1:9" hidden="1" x14ac:dyDescent="0.25">
      <c r="A972" s="114" t="s">
        <v>1104</v>
      </c>
      <c r="B972" s="115" t="s">
        <v>3001</v>
      </c>
      <c r="C972" s="116" t="s">
        <v>96</v>
      </c>
      <c r="D972" s="116">
        <v>0</v>
      </c>
      <c r="E972" s="136">
        <f ca="1">OFFSET(INDEX(Composições!A:J,MATCH(Orçamentária!A972,Composições!A:A,0),8),2,0)</f>
        <v>54.065510206373503</v>
      </c>
      <c r="F972" s="137">
        <f t="shared" ca="1" si="45"/>
        <v>0</v>
      </c>
      <c r="G972" s="138" t="e">
        <f>IF(A972&lt;&gt;"",IF(AND(#REF!="Padrão",$H$4=#REF!),BDI!$B$17,IF(AND(#REF!="Padrão",$H$4=#REF!),BDI!#REF!,IF(AND(#REF!="Diferenciado",$H$4=#REF!),BDI!$E$17,IF(AND(#REF!="Diferenciado",$H$4=#REF!),BDI!#REF!,IF(#REF!="ZERO",0))))),"")</f>
        <v>#REF!</v>
      </c>
      <c r="H972" s="139" t="e">
        <f t="shared" ca="1" si="46"/>
        <v>#REF!</v>
      </c>
      <c r="I972" s="137" t="e">
        <f t="shared" ca="1" si="47"/>
        <v>#REF!</v>
      </c>
    </row>
    <row r="973" spans="1:9" ht="25.5" hidden="1" x14ac:dyDescent="0.25">
      <c r="A973" s="114" t="s">
        <v>1105</v>
      </c>
      <c r="B973" s="115" t="s">
        <v>3002</v>
      </c>
      <c r="C973" s="116" t="s">
        <v>96</v>
      </c>
      <c r="D973" s="116">
        <v>0</v>
      </c>
      <c r="E973" s="136">
        <f ca="1">OFFSET(INDEX(Composições!A:J,MATCH(Orçamentária!A973,Composições!A:A,0),8),2,0)</f>
        <v>6.280510206373501</v>
      </c>
      <c r="F973" s="137">
        <f t="shared" ca="1" si="45"/>
        <v>0</v>
      </c>
      <c r="G973" s="138" t="e">
        <f>IF(A973&lt;&gt;"",IF(AND(#REF!="Padrão",$H$4=#REF!),BDI!$B$17,IF(AND(#REF!="Padrão",$H$4=#REF!),BDI!#REF!,IF(AND(#REF!="Diferenciado",$H$4=#REF!),BDI!$E$17,IF(AND(#REF!="Diferenciado",$H$4=#REF!),BDI!#REF!,IF(#REF!="ZERO",0))))),"")</f>
        <v>#REF!</v>
      </c>
      <c r="H973" s="139" t="e">
        <f t="shared" ca="1" si="46"/>
        <v>#REF!</v>
      </c>
      <c r="I973" s="137" t="e">
        <f t="shared" ca="1" si="47"/>
        <v>#REF!</v>
      </c>
    </row>
    <row r="974" spans="1:9" ht="25.5" hidden="1" x14ac:dyDescent="0.25">
      <c r="A974" s="114" t="s">
        <v>3003</v>
      </c>
      <c r="B974" s="115" t="s">
        <v>3004</v>
      </c>
      <c r="C974" s="116" t="s">
        <v>96</v>
      </c>
      <c r="D974" s="116">
        <v>0</v>
      </c>
      <c r="E974" s="136" t="s">
        <v>572</v>
      </c>
      <c r="F974" s="137" t="str">
        <f t="shared" si="45"/>
        <v/>
      </c>
      <c r="G974" s="138" t="e">
        <f>IF(A974&lt;&gt;"",IF(AND(#REF!="Padrão",$H$4=#REF!),BDI!$B$17,IF(AND(#REF!="Padrão",$H$4=#REF!),BDI!#REF!,IF(AND(#REF!="Diferenciado",$H$4=#REF!),BDI!$E$17,IF(AND(#REF!="Diferenciado",$H$4=#REF!),BDI!#REF!,IF(#REF!="ZERO",0))))),"")</f>
        <v>#REF!</v>
      </c>
      <c r="H974" s="139" t="str">
        <f t="shared" si="46"/>
        <v/>
      </c>
      <c r="I974" s="137" t="str">
        <f t="shared" si="47"/>
        <v/>
      </c>
    </row>
    <row r="975" spans="1:9" hidden="1" x14ac:dyDescent="0.25">
      <c r="A975" s="114" t="s">
        <v>1107</v>
      </c>
      <c r="B975" s="115" t="s">
        <v>3005</v>
      </c>
      <c r="C975" s="116" t="s">
        <v>96</v>
      </c>
      <c r="D975" s="116">
        <v>0</v>
      </c>
      <c r="E975" s="136">
        <f ca="1">OFFSET(INDEX(Composições!A:J,MATCH(Orçamentária!A975,Composições!A:A,0),8),2,0)</f>
        <v>41.306474999999999</v>
      </c>
      <c r="F975" s="137">
        <f t="shared" ca="1" si="45"/>
        <v>0</v>
      </c>
      <c r="G975" s="138" t="e">
        <f>IF(A975&lt;&gt;"",IF(AND(#REF!="Padrão",$H$4=#REF!),BDI!$B$17,IF(AND(#REF!="Padrão",$H$4=#REF!),BDI!#REF!,IF(AND(#REF!="Diferenciado",$H$4=#REF!),BDI!$E$17,IF(AND(#REF!="Diferenciado",$H$4=#REF!),BDI!#REF!,IF(#REF!="ZERO",0))))),"")</f>
        <v>#REF!</v>
      </c>
      <c r="H975" s="139" t="e">
        <f t="shared" ca="1" si="46"/>
        <v>#REF!</v>
      </c>
      <c r="I975" s="137" t="e">
        <f t="shared" ca="1" si="47"/>
        <v>#REF!</v>
      </c>
    </row>
    <row r="976" spans="1:9" ht="25.5" hidden="1" x14ac:dyDescent="0.25">
      <c r="A976" s="114" t="s">
        <v>1108</v>
      </c>
      <c r="B976" s="115" t="s">
        <v>3006</v>
      </c>
      <c r="C976" s="116" t="s">
        <v>96</v>
      </c>
      <c r="D976" s="116">
        <v>0</v>
      </c>
      <c r="E976" s="136">
        <f ca="1">OFFSET(INDEX(Composições!A:J,MATCH(Orçamentária!A976,Composições!A:A,0),8),2,0)</f>
        <v>54.065510206373503</v>
      </c>
      <c r="F976" s="137">
        <f t="shared" ca="1" si="45"/>
        <v>0</v>
      </c>
      <c r="G976" s="138" t="e">
        <f>IF(A976&lt;&gt;"",IF(AND(#REF!="Padrão",$H$4=#REF!),BDI!$B$17,IF(AND(#REF!="Padrão",$H$4=#REF!),BDI!#REF!,IF(AND(#REF!="Diferenciado",$H$4=#REF!),BDI!$E$17,IF(AND(#REF!="Diferenciado",$H$4=#REF!),BDI!#REF!,IF(#REF!="ZERO",0))))),"")</f>
        <v>#REF!</v>
      </c>
      <c r="H976" s="139" t="e">
        <f t="shared" ca="1" si="46"/>
        <v>#REF!</v>
      </c>
      <c r="I976" s="137" t="e">
        <f t="shared" ca="1" si="47"/>
        <v>#REF!</v>
      </c>
    </row>
    <row r="977" spans="1:9" hidden="1" x14ac:dyDescent="0.25">
      <c r="A977" s="114" t="s">
        <v>1109</v>
      </c>
      <c r="B977" s="115" t="s">
        <v>3007</v>
      </c>
      <c r="C977" s="116" t="s">
        <v>96</v>
      </c>
      <c r="D977" s="116">
        <v>0</v>
      </c>
      <c r="E977" s="136">
        <f ca="1">OFFSET(INDEX(Composições!A:J,MATCH(Orçamentária!A977,Composições!A:A,0),8),2,0)</f>
        <v>11.062749999999999</v>
      </c>
      <c r="F977" s="137">
        <f t="shared" ca="1" si="45"/>
        <v>0</v>
      </c>
      <c r="G977" s="138" t="e">
        <f>IF(A977&lt;&gt;"",IF(AND(#REF!="Padrão",$H$4=#REF!),BDI!$B$17,IF(AND(#REF!="Padrão",$H$4=#REF!),BDI!#REF!,IF(AND(#REF!="Diferenciado",$H$4=#REF!),BDI!$E$17,IF(AND(#REF!="Diferenciado",$H$4=#REF!),BDI!#REF!,IF(#REF!="ZERO",0))))),"")</f>
        <v>#REF!</v>
      </c>
      <c r="H977" s="139" t="e">
        <f t="shared" ca="1" si="46"/>
        <v>#REF!</v>
      </c>
      <c r="I977" s="137" t="e">
        <f t="shared" ca="1" si="47"/>
        <v>#REF!</v>
      </c>
    </row>
    <row r="978" spans="1:9" hidden="1" x14ac:dyDescent="0.25">
      <c r="A978" s="114" t="s">
        <v>1112</v>
      </c>
      <c r="B978" s="115" t="s">
        <v>3008</v>
      </c>
      <c r="C978" s="116" t="s">
        <v>94</v>
      </c>
      <c r="D978" s="116">
        <v>0</v>
      </c>
      <c r="E978" s="136">
        <f ca="1">OFFSET(INDEX(Composições!A:J,MATCH(Orçamentária!A978,Composições!A:A,0),8),2,0)</f>
        <v>17.576900000000002</v>
      </c>
      <c r="F978" s="137">
        <f t="shared" ca="1" si="45"/>
        <v>0</v>
      </c>
      <c r="G978" s="138" t="e">
        <f>IF(A978&lt;&gt;"",IF(AND(#REF!="Padrão",$H$4=#REF!),BDI!$B$17,IF(AND(#REF!="Padrão",$H$4=#REF!),BDI!#REF!,IF(AND(#REF!="Diferenciado",$H$4=#REF!),BDI!$E$17,IF(AND(#REF!="Diferenciado",$H$4=#REF!),BDI!#REF!,IF(#REF!="ZERO",0))))),"")</f>
        <v>#REF!</v>
      </c>
      <c r="H978" s="139" t="e">
        <f t="shared" ca="1" si="46"/>
        <v>#REF!</v>
      </c>
      <c r="I978" s="137" t="e">
        <f t="shared" ca="1" si="47"/>
        <v>#REF!</v>
      </c>
    </row>
    <row r="979" spans="1:9" hidden="1" x14ac:dyDescent="0.25">
      <c r="A979" s="114" t="s">
        <v>1114</v>
      </c>
      <c r="B979" s="115" t="s">
        <v>3009</v>
      </c>
      <c r="C979" s="116" t="s">
        <v>96</v>
      </c>
      <c r="D979" s="116">
        <v>0</v>
      </c>
      <c r="E979" s="136">
        <f ca="1">OFFSET(INDEX(Composições!A:J,MATCH(Orçamentária!A979,Composições!A:A,0),8),2,0)</f>
        <v>93.847099000000014</v>
      </c>
      <c r="F979" s="137">
        <f t="shared" ca="1" si="45"/>
        <v>0</v>
      </c>
      <c r="G979" s="138" t="e">
        <f>IF(A979&lt;&gt;"",IF(AND(#REF!="Padrão",$H$4=#REF!),BDI!$B$17,IF(AND(#REF!="Padrão",$H$4=#REF!),BDI!#REF!,IF(AND(#REF!="Diferenciado",$H$4=#REF!),BDI!$E$17,IF(AND(#REF!="Diferenciado",$H$4=#REF!),BDI!#REF!,IF(#REF!="ZERO",0))))),"")</f>
        <v>#REF!</v>
      </c>
      <c r="H979" s="139" t="e">
        <f t="shared" ca="1" si="46"/>
        <v>#REF!</v>
      </c>
      <c r="I979" s="137" t="e">
        <f t="shared" ca="1" si="47"/>
        <v>#REF!</v>
      </c>
    </row>
    <row r="980" spans="1:9" ht="25.5" hidden="1" x14ac:dyDescent="0.25">
      <c r="A980" s="114" t="s">
        <v>1116</v>
      </c>
      <c r="B980" s="115" t="s">
        <v>3010</v>
      </c>
      <c r="C980" s="116" t="s">
        <v>20</v>
      </c>
      <c r="D980" s="116">
        <v>0</v>
      </c>
      <c r="E980" s="136">
        <f ca="1">OFFSET(INDEX(Composições!A:J,MATCH(Orçamentária!A980,Composições!A:A,0),8),2,0)</f>
        <v>0.94097500000000012</v>
      </c>
      <c r="F980" s="137">
        <f t="shared" ca="1" si="45"/>
        <v>0</v>
      </c>
      <c r="G980" s="138" t="e">
        <f>IF(A980&lt;&gt;"",IF(AND(#REF!="Padrão",$H$4=#REF!),BDI!$B$17,IF(AND(#REF!="Padrão",$H$4=#REF!),BDI!#REF!,IF(AND(#REF!="Diferenciado",$H$4=#REF!),BDI!$E$17,IF(AND(#REF!="Diferenciado",$H$4=#REF!),BDI!#REF!,IF(#REF!="ZERO",0))))),"")</f>
        <v>#REF!</v>
      </c>
      <c r="H980" s="139" t="e">
        <f t="shared" ca="1" si="46"/>
        <v>#REF!</v>
      </c>
      <c r="I980" s="137" t="e">
        <f t="shared" ca="1" si="47"/>
        <v>#REF!</v>
      </c>
    </row>
    <row r="981" spans="1:9" hidden="1" x14ac:dyDescent="0.25">
      <c r="A981" s="114" t="s">
        <v>1120</v>
      </c>
      <c r="B981" s="115" t="s">
        <v>3011</v>
      </c>
      <c r="C981" s="116" t="s">
        <v>96</v>
      </c>
      <c r="D981" s="116">
        <v>0</v>
      </c>
      <c r="E981" s="136">
        <f ca="1">OFFSET(INDEX(Composições!A:J,MATCH(Orçamentária!A981,Composições!A:A,0),8),2,0)</f>
        <v>5.4046070000000004</v>
      </c>
      <c r="F981" s="137">
        <f t="shared" ca="1" si="45"/>
        <v>0</v>
      </c>
      <c r="G981" s="138" t="e">
        <f>IF(A981&lt;&gt;"",IF(AND(#REF!="Padrão",$H$4=#REF!),BDI!$B$17,IF(AND(#REF!="Padrão",$H$4=#REF!),BDI!#REF!,IF(AND(#REF!="Diferenciado",$H$4=#REF!),BDI!$E$17,IF(AND(#REF!="Diferenciado",$H$4=#REF!),BDI!#REF!,IF(#REF!="ZERO",0))))),"")</f>
        <v>#REF!</v>
      </c>
      <c r="H981" s="139" t="e">
        <f t="shared" ca="1" si="46"/>
        <v>#REF!</v>
      </c>
      <c r="I981" s="137" t="e">
        <f t="shared" ca="1" si="47"/>
        <v>#REF!</v>
      </c>
    </row>
    <row r="982" spans="1:9" hidden="1" x14ac:dyDescent="0.25">
      <c r="A982" s="114" t="s">
        <v>1121</v>
      </c>
      <c r="B982" s="115" t="s">
        <v>3012</v>
      </c>
      <c r="C982" s="116" t="s">
        <v>94</v>
      </c>
      <c r="D982" s="116">
        <v>0</v>
      </c>
      <c r="E982" s="136">
        <f ca="1">OFFSET(INDEX(Composições!A:J,MATCH(Orçamentária!A982,Composições!A:A,0),8),2,0)</f>
        <v>22.476725449999996</v>
      </c>
      <c r="F982" s="137">
        <f t="shared" ca="1" si="45"/>
        <v>0</v>
      </c>
      <c r="G982" s="138" t="e">
        <f>IF(A982&lt;&gt;"",IF(AND(#REF!="Padrão",$H$4=#REF!),BDI!$B$17,IF(AND(#REF!="Padrão",$H$4=#REF!),BDI!#REF!,IF(AND(#REF!="Diferenciado",$H$4=#REF!),BDI!$E$17,IF(AND(#REF!="Diferenciado",$H$4=#REF!),BDI!#REF!,IF(#REF!="ZERO",0))))),"")</f>
        <v>#REF!</v>
      </c>
      <c r="H982" s="139" t="e">
        <f t="shared" ca="1" si="46"/>
        <v>#REF!</v>
      </c>
      <c r="I982" s="137" t="e">
        <f t="shared" ca="1" si="47"/>
        <v>#REF!</v>
      </c>
    </row>
    <row r="983" spans="1:9" hidden="1" x14ac:dyDescent="0.25">
      <c r="A983" s="114" t="s">
        <v>1126</v>
      </c>
      <c r="B983" s="115" t="s">
        <v>3013</v>
      </c>
      <c r="C983" s="116" t="s">
        <v>94</v>
      </c>
      <c r="D983" s="116">
        <v>0</v>
      </c>
      <c r="E983" s="136">
        <f ca="1">OFFSET(INDEX(Composições!A:J,MATCH(Orçamentária!A983,Composições!A:A,0),8),2,0)</f>
        <v>14.610352099999998</v>
      </c>
      <c r="F983" s="137">
        <f t="shared" ca="1" si="45"/>
        <v>0</v>
      </c>
      <c r="G983" s="138" t="e">
        <f>IF(A983&lt;&gt;"",IF(AND(#REF!="Padrão",$H$4=#REF!),BDI!$B$17,IF(AND(#REF!="Padrão",$H$4=#REF!),BDI!#REF!,IF(AND(#REF!="Diferenciado",$H$4=#REF!),BDI!$E$17,IF(AND(#REF!="Diferenciado",$H$4=#REF!),BDI!#REF!,IF(#REF!="ZERO",0))))),"")</f>
        <v>#REF!</v>
      </c>
      <c r="H983" s="139" t="e">
        <f t="shared" ca="1" si="46"/>
        <v>#REF!</v>
      </c>
      <c r="I983" s="137" t="e">
        <f t="shared" ca="1" si="47"/>
        <v>#REF!</v>
      </c>
    </row>
    <row r="984" spans="1:9" hidden="1" x14ac:dyDescent="0.25">
      <c r="A984" s="114" t="s">
        <v>3014</v>
      </c>
      <c r="B984" s="115" t="s">
        <v>3015</v>
      </c>
      <c r="C984" s="116" t="s">
        <v>20</v>
      </c>
      <c r="D984" s="116">
        <v>0</v>
      </c>
      <c r="E984" s="136" t="s">
        <v>572</v>
      </c>
      <c r="F984" s="137" t="str">
        <f t="shared" si="45"/>
        <v/>
      </c>
      <c r="G984" s="138" t="e">
        <f>IF(A984&lt;&gt;"",IF(AND(#REF!="Padrão",$H$4=#REF!),BDI!$B$17,IF(AND(#REF!="Padrão",$H$4=#REF!),BDI!#REF!,IF(AND(#REF!="Diferenciado",$H$4=#REF!),BDI!$E$17,IF(AND(#REF!="Diferenciado",$H$4=#REF!),BDI!#REF!,IF(#REF!="ZERO",0))))),"")</f>
        <v>#REF!</v>
      </c>
      <c r="H984" s="139" t="str">
        <f t="shared" si="46"/>
        <v/>
      </c>
      <c r="I984" s="137" t="str">
        <f t="shared" si="47"/>
        <v/>
      </c>
    </row>
    <row r="985" spans="1:9" hidden="1" x14ac:dyDescent="0.25">
      <c r="A985" s="114" t="s">
        <v>1127</v>
      </c>
      <c r="B985" s="115" t="s">
        <v>3016</v>
      </c>
      <c r="C985" s="116" t="s">
        <v>20</v>
      </c>
      <c r="D985" s="116">
        <v>0</v>
      </c>
      <c r="E985" s="136">
        <f ca="1">OFFSET(INDEX(Composições!A:J,MATCH(Orçamentária!A985,Composições!A:A,0),8),2,0)</f>
        <v>72.39438045</v>
      </c>
      <c r="F985" s="137">
        <f t="shared" ca="1" si="45"/>
        <v>0</v>
      </c>
      <c r="G985" s="138" t="e">
        <f>IF(A985&lt;&gt;"",IF(AND(#REF!="Padrão",$H$4=#REF!),BDI!$B$17,IF(AND(#REF!="Padrão",$H$4=#REF!),BDI!#REF!,IF(AND(#REF!="Diferenciado",$H$4=#REF!),BDI!$E$17,IF(AND(#REF!="Diferenciado",$H$4=#REF!),BDI!#REF!,IF(#REF!="ZERO",0))))),"")</f>
        <v>#REF!</v>
      </c>
      <c r="H985" s="139" t="e">
        <f t="shared" ca="1" si="46"/>
        <v>#REF!</v>
      </c>
      <c r="I985" s="137" t="e">
        <f t="shared" ca="1" si="47"/>
        <v>#REF!</v>
      </c>
    </row>
    <row r="986" spans="1:9" hidden="1" x14ac:dyDescent="0.25">
      <c r="A986" s="114" t="s">
        <v>1130</v>
      </c>
      <c r="B986" s="115" t="s">
        <v>3017</v>
      </c>
      <c r="C986" s="116" t="s">
        <v>3018</v>
      </c>
      <c r="D986" s="116">
        <v>0</v>
      </c>
      <c r="E986" s="136">
        <f ca="1">OFFSET(INDEX(Composições!A:J,MATCH(Orçamentária!A986,Composições!A:A,0),8),2,0)</f>
        <v>506.55758742980004</v>
      </c>
      <c r="F986" s="137">
        <f t="shared" ca="1" si="45"/>
        <v>0</v>
      </c>
      <c r="G986" s="138" t="e">
        <f>IF(A986&lt;&gt;"",IF(AND(#REF!="Padrão",$H$4=#REF!),BDI!$B$17,IF(AND(#REF!="Padrão",$H$4=#REF!),BDI!#REF!,IF(AND(#REF!="Diferenciado",$H$4=#REF!),BDI!$E$17,IF(AND(#REF!="Diferenciado",$H$4=#REF!),BDI!#REF!,IF(#REF!="ZERO",0))))),"")</f>
        <v>#REF!</v>
      </c>
      <c r="H986" s="139" t="e">
        <f t="shared" ca="1" si="46"/>
        <v>#REF!</v>
      </c>
      <c r="I986" s="137" t="e">
        <f t="shared" ca="1" si="47"/>
        <v>#REF!</v>
      </c>
    </row>
    <row r="987" spans="1:9" hidden="1" x14ac:dyDescent="0.25">
      <c r="A987" s="114" t="s">
        <v>1132</v>
      </c>
      <c r="B987" s="115" t="s">
        <v>3019</v>
      </c>
      <c r="C987" s="116" t="s">
        <v>96</v>
      </c>
      <c r="D987" s="116">
        <v>0</v>
      </c>
      <c r="E987" s="136">
        <f ca="1">OFFSET(INDEX(Composições!A:J,MATCH(Orçamentária!A987,Composições!A:A,0),8),2,0)</f>
        <v>104.13309575000001</v>
      </c>
      <c r="F987" s="137">
        <f t="shared" ca="1" si="45"/>
        <v>0</v>
      </c>
      <c r="G987" s="138" t="e">
        <f>IF(A987&lt;&gt;"",IF(AND(#REF!="Padrão",$H$4=#REF!),BDI!$B$17,IF(AND(#REF!="Padrão",$H$4=#REF!),BDI!#REF!,IF(AND(#REF!="Diferenciado",$H$4=#REF!),BDI!$E$17,IF(AND(#REF!="Diferenciado",$H$4=#REF!),BDI!#REF!,IF(#REF!="ZERO",0))))),"")</f>
        <v>#REF!</v>
      </c>
      <c r="H987" s="139" t="e">
        <f t="shared" ca="1" si="46"/>
        <v>#REF!</v>
      </c>
      <c r="I987" s="137" t="e">
        <f t="shared" ca="1" si="47"/>
        <v>#REF!</v>
      </c>
    </row>
    <row r="988" spans="1:9" hidden="1" x14ac:dyDescent="0.25">
      <c r="A988" s="114" t="s">
        <v>1136</v>
      </c>
      <c r="B988" s="115" t="s">
        <v>3020</v>
      </c>
      <c r="C988" s="116" t="s">
        <v>20</v>
      </c>
      <c r="D988" s="116">
        <v>0</v>
      </c>
      <c r="E988" s="136">
        <f ca="1">OFFSET(INDEX(Composições!A:J,MATCH(Orçamentária!A988,Composições!A:A,0),8),2,0)</f>
        <v>151.73400000000001</v>
      </c>
      <c r="F988" s="137">
        <f t="shared" ca="1" si="45"/>
        <v>0</v>
      </c>
      <c r="G988" s="138" t="e">
        <f>IF(A988&lt;&gt;"",IF(AND(#REF!="Padrão",$H$4=#REF!),BDI!$B$17,IF(AND(#REF!="Padrão",$H$4=#REF!),BDI!#REF!,IF(AND(#REF!="Diferenciado",$H$4=#REF!),BDI!$E$17,IF(AND(#REF!="Diferenciado",$H$4=#REF!),BDI!#REF!,IF(#REF!="ZERO",0))))),"")</f>
        <v>#REF!</v>
      </c>
      <c r="H988" s="139" t="e">
        <f t="shared" ca="1" si="46"/>
        <v>#REF!</v>
      </c>
      <c r="I988" s="137" t="e">
        <f t="shared" ca="1" si="47"/>
        <v>#REF!</v>
      </c>
    </row>
    <row r="989" spans="1:9" hidden="1" x14ac:dyDescent="0.25">
      <c r="A989" s="114" t="s">
        <v>1137</v>
      </c>
      <c r="B989" s="115" t="s">
        <v>3021</v>
      </c>
      <c r="C989" s="116" t="s">
        <v>3022</v>
      </c>
      <c r="D989" s="116">
        <v>0</v>
      </c>
      <c r="E989" s="136">
        <f ca="1">OFFSET(INDEX(Composições!A:J,MATCH(Orçamentária!A989,Composições!A:A,0),8),2,0)</f>
        <v>1.8443850999999998</v>
      </c>
      <c r="F989" s="137">
        <f t="shared" ca="1" si="45"/>
        <v>0</v>
      </c>
      <c r="G989" s="138" t="e">
        <f>IF(A989&lt;&gt;"",IF(AND(#REF!="Padrão",$H$4=#REF!),BDI!$B$17,IF(AND(#REF!="Padrão",$H$4=#REF!),BDI!#REF!,IF(AND(#REF!="Diferenciado",$H$4=#REF!),BDI!$E$17,IF(AND(#REF!="Diferenciado",$H$4=#REF!),BDI!#REF!,IF(#REF!="ZERO",0))))),"")</f>
        <v>#REF!</v>
      </c>
      <c r="H989" s="139" t="e">
        <f t="shared" ca="1" si="46"/>
        <v>#REF!</v>
      </c>
      <c r="I989" s="137" t="e">
        <f t="shared" ca="1" si="47"/>
        <v>#REF!</v>
      </c>
    </row>
    <row r="990" spans="1:9" hidden="1" x14ac:dyDescent="0.25">
      <c r="A990" s="114" t="s">
        <v>3023</v>
      </c>
      <c r="B990" s="115" t="s">
        <v>3024</v>
      </c>
      <c r="C990" s="116" t="s">
        <v>2823</v>
      </c>
      <c r="D990" s="116">
        <v>0</v>
      </c>
      <c r="E990" s="136" t="s">
        <v>572</v>
      </c>
      <c r="F990" s="137" t="str">
        <f t="shared" si="45"/>
        <v/>
      </c>
      <c r="G990" s="138" t="e">
        <f>IF(A990&lt;&gt;"",IF(AND(#REF!="Padrão",$H$4=#REF!),BDI!$B$17,IF(AND(#REF!="Padrão",$H$4=#REF!),BDI!#REF!,IF(AND(#REF!="Diferenciado",$H$4=#REF!),BDI!$E$17,IF(AND(#REF!="Diferenciado",$H$4=#REF!),BDI!#REF!,IF(#REF!="ZERO",0))))),"")</f>
        <v>#REF!</v>
      </c>
      <c r="H990" s="139" t="str">
        <f t="shared" si="46"/>
        <v/>
      </c>
      <c r="I990" s="137" t="str">
        <f t="shared" si="47"/>
        <v/>
      </c>
    </row>
    <row r="991" spans="1:9" hidden="1" x14ac:dyDescent="0.25">
      <c r="A991" s="114" t="s">
        <v>1140</v>
      </c>
      <c r="B991" s="115" t="s">
        <v>3025</v>
      </c>
      <c r="C991" s="116" t="s">
        <v>3026</v>
      </c>
      <c r="D991" s="116">
        <v>0</v>
      </c>
      <c r="E991" s="136">
        <f ca="1">OFFSET(INDEX(Composições!A:J,MATCH(Orçamentária!A991,Composições!A:A,0),8),2,0)</f>
        <v>2.8846179999999997</v>
      </c>
      <c r="F991" s="137">
        <f t="shared" ca="1" si="45"/>
        <v>0</v>
      </c>
      <c r="G991" s="138" t="e">
        <f>IF(A991&lt;&gt;"",IF(AND(#REF!="Padrão",$H$4=#REF!),BDI!$B$17,IF(AND(#REF!="Padrão",$H$4=#REF!),BDI!#REF!,IF(AND(#REF!="Diferenciado",$H$4=#REF!),BDI!$E$17,IF(AND(#REF!="Diferenciado",$H$4=#REF!),BDI!#REF!,IF(#REF!="ZERO",0))))),"")</f>
        <v>#REF!</v>
      </c>
      <c r="H991" s="139" t="e">
        <f t="shared" ca="1" si="46"/>
        <v>#REF!</v>
      </c>
      <c r="I991" s="137" t="e">
        <f t="shared" ca="1" si="47"/>
        <v>#REF!</v>
      </c>
    </row>
    <row r="992" spans="1:9" hidden="1" x14ac:dyDescent="0.25">
      <c r="A992" s="114" t="s">
        <v>1143</v>
      </c>
      <c r="B992" s="115" t="s">
        <v>3027</v>
      </c>
      <c r="C992" s="116" t="s">
        <v>3018</v>
      </c>
      <c r="D992" s="116">
        <v>0</v>
      </c>
      <c r="E992" s="136">
        <f ca="1">OFFSET(INDEX(Composições!A:J,MATCH(Orçamentária!A992,Composições!A:A,0),8),2,0)</f>
        <v>70.139450000000011</v>
      </c>
      <c r="F992" s="137">
        <f t="shared" ca="1" si="45"/>
        <v>0</v>
      </c>
      <c r="G992" s="138" t="e">
        <f>IF(A992&lt;&gt;"",IF(AND(#REF!="Padrão",$H$4=#REF!),BDI!$B$17,IF(AND(#REF!="Padrão",$H$4=#REF!),BDI!#REF!,IF(AND(#REF!="Diferenciado",$H$4=#REF!),BDI!$E$17,IF(AND(#REF!="Diferenciado",$H$4=#REF!),BDI!#REF!,IF(#REF!="ZERO",0))))),"")</f>
        <v>#REF!</v>
      </c>
      <c r="H992" s="139" t="e">
        <f t="shared" ca="1" si="46"/>
        <v>#REF!</v>
      </c>
      <c r="I992" s="137" t="e">
        <f t="shared" ca="1" si="47"/>
        <v>#REF!</v>
      </c>
    </row>
    <row r="993" spans="1:9" hidden="1" x14ac:dyDescent="0.25">
      <c r="A993" s="114" t="s">
        <v>1144</v>
      </c>
      <c r="B993" s="115" t="s">
        <v>3028</v>
      </c>
      <c r="C993" s="116" t="s">
        <v>3018</v>
      </c>
      <c r="D993" s="116">
        <v>0</v>
      </c>
      <c r="E993" s="136">
        <f ca="1">OFFSET(INDEX(Composições!A:J,MATCH(Orçamentária!A993,Composições!A:A,0),8),2,0)</f>
        <v>4.8571790000000004</v>
      </c>
      <c r="F993" s="137">
        <f t="shared" ca="1" si="45"/>
        <v>0</v>
      </c>
      <c r="G993" s="138" t="e">
        <f>IF(A993&lt;&gt;"",IF(AND(#REF!="Padrão",$H$4=#REF!),BDI!$B$17,IF(AND(#REF!="Padrão",$H$4=#REF!),BDI!#REF!,IF(AND(#REF!="Diferenciado",$H$4=#REF!),BDI!$E$17,IF(AND(#REF!="Diferenciado",$H$4=#REF!),BDI!#REF!,IF(#REF!="ZERO",0))))),"")</f>
        <v>#REF!</v>
      </c>
      <c r="H993" s="139" t="e">
        <f t="shared" ca="1" si="46"/>
        <v>#REF!</v>
      </c>
      <c r="I993" s="137" t="e">
        <f t="shared" ca="1" si="47"/>
        <v>#REF!</v>
      </c>
    </row>
    <row r="994" spans="1:9" hidden="1" x14ac:dyDescent="0.25">
      <c r="A994" s="114" t="s">
        <v>1145</v>
      </c>
      <c r="B994" s="115" t="s">
        <v>3029</v>
      </c>
      <c r="C994" s="116" t="s">
        <v>96</v>
      </c>
      <c r="D994" s="116">
        <v>0</v>
      </c>
      <c r="E994" s="136">
        <f ca="1">OFFSET(INDEX(Composições!A:J,MATCH(Orçamentária!A994,Composições!A:A,0),8),2,0)</f>
        <v>48.301004501273994</v>
      </c>
      <c r="F994" s="137">
        <f t="shared" ca="1" si="45"/>
        <v>0</v>
      </c>
      <c r="G994" s="138" t="e">
        <f>IF(A994&lt;&gt;"",IF(AND(#REF!="Padrão",$H$4=#REF!),BDI!$B$17,IF(AND(#REF!="Padrão",$H$4=#REF!),BDI!#REF!,IF(AND(#REF!="Diferenciado",$H$4=#REF!),BDI!$E$17,IF(AND(#REF!="Diferenciado",$H$4=#REF!),BDI!#REF!,IF(#REF!="ZERO",0))))),"")</f>
        <v>#REF!</v>
      </c>
      <c r="H994" s="139" t="e">
        <f t="shared" ca="1" si="46"/>
        <v>#REF!</v>
      </c>
      <c r="I994" s="137" t="e">
        <f t="shared" ca="1" si="47"/>
        <v>#REF!</v>
      </c>
    </row>
    <row r="995" spans="1:9" hidden="1" x14ac:dyDescent="0.25">
      <c r="A995" s="114" t="s">
        <v>1154</v>
      </c>
      <c r="B995" s="115" t="s">
        <v>3030</v>
      </c>
      <c r="C995" s="116" t="s">
        <v>94</v>
      </c>
      <c r="D995" s="116">
        <v>0</v>
      </c>
      <c r="E995" s="136">
        <f ca="1">OFFSET(INDEX(Composições!A:J,MATCH(Orçamentária!A995,Composições!A:A,0),8),2,0)</f>
        <v>4.5107876249999999</v>
      </c>
      <c r="F995" s="137">
        <f t="shared" ca="1" si="45"/>
        <v>0</v>
      </c>
      <c r="G995" s="138" t="e">
        <f>IF(A995&lt;&gt;"",IF(AND(#REF!="Padrão",$H$4=#REF!),BDI!$B$17,IF(AND(#REF!="Padrão",$H$4=#REF!),BDI!#REF!,IF(AND(#REF!="Diferenciado",$H$4=#REF!),BDI!$E$17,IF(AND(#REF!="Diferenciado",$H$4=#REF!),BDI!#REF!,IF(#REF!="ZERO",0))))),"")</f>
        <v>#REF!</v>
      </c>
      <c r="H995" s="139" t="e">
        <f t="shared" ca="1" si="46"/>
        <v>#REF!</v>
      </c>
      <c r="I995" s="137" t="e">
        <f t="shared" ca="1" si="47"/>
        <v>#REF!</v>
      </c>
    </row>
    <row r="996" spans="1:9" hidden="1" x14ac:dyDescent="0.25">
      <c r="A996" s="114" t="s">
        <v>1158</v>
      </c>
      <c r="B996" s="115" t="s">
        <v>3031</v>
      </c>
      <c r="C996" s="116" t="s">
        <v>94</v>
      </c>
      <c r="D996" s="116">
        <v>0</v>
      </c>
      <c r="E996" s="136">
        <f ca="1">OFFSET(INDEX(Composições!A:J,MATCH(Orçamentária!A996,Composições!A:A,0),8),2,0)</f>
        <v>42.276503547748</v>
      </c>
      <c r="F996" s="137">
        <f t="shared" ca="1" si="45"/>
        <v>0</v>
      </c>
      <c r="G996" s="138" t="e">
        <f>IF(A996&lt;&gt;"",IF(AND(#REF!="Padrão",$H$4=#REF!),BDI!$B$17,IF(AND(#REF!="Padrão",$H$4=#REF!),BDI!#REF!,IF(AND(#REF!="Diferenciado",$H$4=#REF!),BDI!$E$17,IF(AND(#REF!="Diferenciado",$H$4=#REF!),BDI!#REF!,IF(#REF!="ZERO",0))))),"")</f>
        <v>#REF!</v>
      </c>
      <c r="H996" s="139" t="e">
        <f t="shared" ca="1" si="46"/>
        <v>#REF!</v>
      </c>
      <c r="I996" s="137" t="e">
        <f t="shared" ca="1" si="47"/>
        <v>#REF!</v>
      </c>
    </row>
    <row r="997" spans="1:9" hidden="1" x14ac:dyDescent="0.25">
      <c r="A997" s="114" t="s">
        <v>1160</v>
      </c>
      <c r="B997" s="115" t="s">
        <v>3032</v>
      </c>
      <c r="C997" s="116" t="s">
        <v>94</v>
      </c>
      <c r="D997" s="116">
        <v>0</v>
      </c>
      <c r="E997" s="136">
        <f ca="1">OFFSET(INDEX(Composições!A:J,MATCH(Orçamentária!A997,Composições!A:A,0),8),2,0)</f>
        <v>35.927391637555004</v>
      </c>
      <c r="F997" s="137">
        <f t="shared" ca="1" si="45"/>
        <v>0</v>
      </c>
      <c r="G997" s="138" t="e">
        <f>IF(A997&lt;&gt;"",IF(AND(#REF!="Padrão",$H$4=#REF!),BDI!$B$17,IF(AND(#REF!="Padrão",$H$4=#REF!),BDI!#REF!,IF(AND(#REF!="Diferenciado",$H$4=#REF!),BDI!$E$17,IF(AND(#REF!="Diferenciado",$H$4=#REF!),BDI!#REF!,IF(#REF!="ZERO",0))))),"")</f>
        <v>#REF!</v>
      </c>
      <c r="H997" s="139" t="e">
        <f t="shared" ca="1" si="46"/>
        <v>#REF!</v>
      </c>
      <c r="I997" s="137" t="e">
        <f t="shared" ca="1" si="47"/>
        <v>#REF!</v>
      </c>
    </row>
    <row r="998" spans="1:9" hidden="1" x14ac:dyDescent="0.25">
      <c r="A998" s="114" t="s">
        <v>3033</v>
      </c>
      <c r="B998" s="115" t="s">
        <v>3034</v>
      </c>
      <c r="C998" s="116" t="s">
        <v>96</v>
      </c>
      <c r="D998" s="116">
        <v>0</v>
      </c>
      <c r="E998" s="136" t="s">
        <v>572</v>
      </c>
      <c r="F998" s="137" t="str">
        <f t="shared" si="45"/>
        <v/>
      </c>
      <c r="G998" s="138" t="e">
        <f>IF(A998&lt;&gt;"",IF(AND(#REF!="Padrão",$H$4=#REF!),BDI!$B$17,IF(AND(#REF!="Padrão",$H$4=#REF!),BDI!#REF!,IF(AND(#REF!="Diferenciado",$H$4=#REF!),BDI!$E$17,IF(AND(#REF!="Diferenciado",$H$4=#REF!),BDI!#REF!,IF(#REF!="ZERO",0))))),"")</f>
        <v>#REF!</v>
      </c>
      <c r="H998" s="139" t="str">
        <f t="shared" si="46"/>
        <v/>
      </c>
      <c r="I998" s="137" t="str">
        <f t="shared" si="47"/>
        <v/>
      </c>
    </row>
    <row r="999" spans="1:9" hidden="1" x14ac:dyDescent="0.25">
      <c r="A999" s="114" t="s">
        <v>1166</v>
      </c>
      <c r="B999" s="115" t="s">
        <v>3035</v>
      </c>
      <c r="C999" s="116" t="s">
        <v>20</v>
      </c>
      <c r="D999" s="116">
        <v>0</v>
      </c>
      <c r="E999" s="136">
        <f ca="1">OFFSET(INDEX(Composições!A:J,MATCH(Orçamentária!A999,Composições!A:A,0),8),2,0)</f>
        <v>7.8567408254940005</v>
      </c>
      <c r="F999" s="137">
        <f t="shared" ca="1" si="45"/>
        <v>0</v>
      </c>
      <c r="G999" s="138" t="e">
        <f>IF(A999&lt;&gt;"",IF(AND(#REF!="Padrão",$H$4=#REF!),BDI!$B$17,IF(AND(#REF!="Padrão",$H$4=#REF!),BDI!#REF!,IF(AND(#REF!="Diferenciado",$H$4=#REF!),BDI!$E$17,IF(AND(#REF!="Diferenciado",$H$4=#REF!),BDI!#REF!,IF(#REF!="ZERO",0))))),"")</f>
        <v>#REF!</v>
      </c>
      <c r="H999" s="139" t="e">
        <f t="shared" ca="1" si="46"/>
        <v>#REF!</v>
      </c>
      <c r="I999" s="137" t="e">
        <f t="shared" ca="1" si="47"/>
        <v>#REF!</v>
      </c>
    </row>
    <row r="1000" spans="1:9" hidden="1" x14ac:dyDescent="0.25">
      <c r="A1000" s="114" t="s">
        <v>3036</v>
      </c>
      <c r="B1000" s="115" t="s">
        <v>3037</v>
      </c>
      <c r="C1000" s="116" t="s">
        <v>20</v>
      </c>
      <c r="D1000" s="116">
        <v>0</v>
      </c>
      <c r="E1000" s="136" t="s">
        <v>572</v>
      </c>
      <c r="F1000" s="137" t="str">
        <f t="shared" si="45"/>
        <v/>
      </c>
      <c r="G1000" s="138" t="e">
        <f>IF(A1000&lt;&gt;"",IF(AND(#REF!="Padrão",$H$4=#REF!),BDI!$B$17,IF(AND(#REF!="Padrão",$H$4=#REF!),BDI!#REF!,IF(AND(#REF!="Diferenciado",$H$4=#REF!),BDI!$E$17,IF(AND(#REF!="Diferenciado",$H$4=#REF!),BDI!#REF!,IF(#REF!="ZERO",0))))),"")</f>
        <v>#REF!</v>
      </c>
      <c r="H1000" s="139" t="str">
        <f t="shared" si="46"/>
        <v/>
      </c>
      <c r="I1000" s="137" t="str">
        <f t="shared" si="47"/>
        <v/>
      </c>
    </row>
    <row r="1001" spans="1:9" hidden="1" x14ac:dyDescent="0.25">
      <c r="A1001" s="114" t="s">
        <v>3038</v>
      </c>
      <c r="B1001" s="115" t="s">
        <v>3039</v>
      </c>
      <c r="C1001" s="116" t="s">
        <v>20</v>
      </c>
      <c r="D1001" s="116">
        <v>0</v>
      </c>
      <c r="E1001" s="136" t="s">
        <v>572</v>
      </c>
      <c r="F1001" s="137" t="str">
        <f t="shared" si="45"/>
        <v/>
      </c>
      <c r="G1001" s="138" t="e">
        <f>IF(A1001&lt;&gt;"",IF(AND(#REF!="Padrão",$H$4=#REF!),BDI!$B$17,IF(AND(#REF!="Padrão",$H$4=#REF!),BDI!#REF!,IF(AND(#REF!="Diferenciado",$H$4=#REF!),BDI!$E$17,IF(AND(#REF!="Diferenciado",$H$4=#REF!),BDI!#REF!,IF(#REF!="ZERO",0))))),"")</f>
        <v>#REF!</v>
      </c>
      <c r="H1001" s="139" t="str">
        <f t="shared" si="46"/>
        <v/>
      </c>
      <c r="I1001" s="137" t="str">
        <f t="shared" si="47"/>
        <v/>
      </c>
    </row>
    <row r="1002" spans="1:9" hidden="1" x14ac:dyDescent="0.25">
      <c r="A1002" s="114" t="s">
        <v>3040</v>
      </c>
      <c r="B1002" s="115" t="s">
        <v>3041</v>
      </c>
      <c r="C1002" s="116" t="s">
        <v>20</v>
      </c>
      <c r="D1002" s="116">
        <v>0</v>
      </c>
      <c r="E1002" s="136" t="s">
        <v>572</v>
      </c>
      <c r="F1002" s="137" t="str">
        <f t="shared" si="45"/>
        <v/>
      </c>
      <c r="G1002" s="138" t="e">
        <f>IF(A1002&lt;&gt;"",IF(AND(#REF!="Padrão",$H$4=#REF!),BDI!$B$17,IF(AND(#REF!="Padrão",$H$4=#REF!),BDI!#REF!,IF(AND(#REF!="Diferenciado",$H$4=#REF!),BDI!$E$17,IF(AND(#REF!="Diferenciado",$H$4=#REF!),BDI!#REF!,IF(#REF!="ZERO",0))))),"")</f>
        <v>#REF!</v>
      </c>
      <c r="H1002" s="139" t="str">
        <f t="shared" si="46"/>
        <v/>
      </c>
      <c r="I1002" s="137" t="str">
        <f t="shared" si="47"/>
        <v/>
      </c>
    </row>
    <row r="1003" spans="1:9" hidden="1" x14ac:dyDescent="0.25">
      <c r="A1003" s="114" t="s">
        <v>3042</v>
      </c>
      <c r="B1003" s="115" t="s">
        <v>3043</v>
      </c>
      <c r="C1003" s="116" t="s">
        <v>3044</v>
      </c>
      <c r="D1003" s="116">
        <v>0</v>
      </c>
      <c r="E1003" s="136" t="s">
        <v>572</v>
      </c>
      <c r="F1003" s="137" t="str">
        <f t="shared" si="45"/>
        <v/>
      </c>
      <c r="G1003" s="138" t="e">
        <f>IF(A1003&lt;&gt;"",IF(AND(#REF!="Padrão",$H$4=#REF!),BDI!$B$17,IF(AND(#REF!="Padrão",$H$4=#REF!),BDI!#REF!,IF(AND(#REF!="Diferenciado",$H$4=#REF!),BDI!$E$17,IF(AND(#REF!="Diferenciado",$H$4=#REF!),BDI!#REF!,IF(#REF!="ZERO",0))))),"")</f>
        <v>#REF!</v>
      </c>
      <c r="H1003" s="139" t="str">
        <f t="shared" si="46"/>
        <v/>
      </c>
      <c r="I1003" s="137" t="str">
        <f t="shared" si="47"/>
        <v/>
      </c>
    </row>
    <row r="1004" spans="1:9" hidden="1" x14ac:dyDescent="0.25">
      <c r="A1004" s="114" t="s">
        <v>3045</v>
      </c>
      <c r="B1004" s="115" t="s">
        <v>3046</v>
      </c>
      <c r="C1004" s="116" t="s">
        <v>20</v>
      </c>
      <c r="D1004" s="116">
        <v>0</v>
      </c>
      <c r="E1004" s="136" t="s">
        <v>572</v>
      </c>
      <c r="F1004" s="137" t="str">
        <f t="shared" si="45"/>
        <v/>
      </c>
      <c r="G1004" s="138" t="e">
        <f>IF(A1004&lt;&gt;"",IF(AND(#REF!="Padrão",$H$4=#REF!),BDI!$B$17,IF(AND(#REF!="Padrão",$H$4=#REF!),BDI!#REF!,IF(AND(#REF!="Diferenciado",$H$4=#REF!),BDI!$E$17,IF(AND(#REF!="Diferenciado",$H$4=#REF!),BDI!#REF!,IF(#REF!="ZERO",0))))),"")</f>
        <v>#REF!</v>
      </c>
      <c r="H1004" s="139" t="str">
        <f t="shared" si="46"/>
        <v/>
      </c>
      <c r="I1004" s="137" t="str">
        <f t="shared" si="47"/>
        <v/>
      </c>
    </row>
    <row r="1005" spans="1:9" hidden="1" x14ac:dyDescent="0.25">
      <c r="A1005" s="114" t="s">
        <v>3047</v>
      </c>
      <c r="B1005" s="115" t="s">
        <v>3048</v>
      </c>
      <c r="C1005" s="116" t="s">
        <v>94</v>
      </c>
      <c r="D1005" s="116">
        <v>0</v>
      </c>
      <c r="E1005" s="136" t="s">
        <v>572</v>
      </c>
      <c r="F1005" s="137" t="str">
        <f t="shared" si="45"/>
        <v/>
      </c>
      <c r="G1005" s="138" t="e">
        <f>IF(A1005&lt;&gt;"",IF(AND(#REF!="Padrão",$H$4=#REF!),BDI!$B$17,IF(AND(#REF!="Padrão",$H$4=#REF!),BDI!#REF!,IF(AND(#REF!="Diferenciado",$H$4=#REF!),BDI!$E$17,IF(AND(#REF!="Diferenciado",$H$4=#REF!),BDI!#REF!,IF(#REF!="ZERO",0))))),"")</f>
        <v>#REF!</v>
      </c>
      <c r="H1005" s="139" t="str">
        <f t="shared" si="46"/>
        <v/>
      </c>
      <c r="I1005" s="137" t="str">
        <f t="shared" si="47"/>
        <v/>
      </c>
    </row>
    <row r="1006" spans="1:9" hidden="1" x14ac:dyDescent="0.25">
      <c r="A1006" s="114" t="s">
        <v>1168</v>
      </c>
      <c r="B1006" s="115" t="s">
        <v>3049</v>
      </c>
      <c r="C1006" s="116" t="s">
        <v>3050</v>
      </c>
      <c r="D1006" s="116">
        <v>0</v>
      </c>
      <c r="E1006" s="136">
        <f ca="1">OFFSET(INDEX(Composições!A:J,MATCH(Orçamentária!A1006,Composições!A:A,0),8),2,0)</f>
        <v>555.75</v>
      </c>
      <c r="F1006" s="137">
        <f t="shared" ca="1" si="45"/>
        <v>0</v>
      </c>
      <c r="G1006" s="138" t="e">
        <f>IF(A1006&lt;&gt;"",IF(AND(#REF!="Padrão",$H$4=#REF!),BDI!$B$17,IF(AND(#REF!="Padrão",$H$4=#REF!),BDI!#REF!,IF(AND(#REF!="Diferenciado",$H$4=#REF!),BDI!$E$17,IF(AND(#REF!="Diferenciado",$H$4=#REF!),BDI!#REF!,IF(#REF!="ZERO",0))))),"")</f>
        <v>#REF!</v>
      </c>
      <c r="H1006" s="139" t="e">
        <f t="shared" ca="1" si="46"/>
        <v>#REF!</v>
      </c>
      <c r="I1006" s="137" t="e">
        <f t="shared" ca="1" si="47"/>
        <v>#REF!</v>
      </c>
    </row>
    <row r="1007" spans="1:9" hidden="1" x14ac:dyDescent="0.25">
      <c r="A1007" s="114" t="s">
        <v>3051</v>
      </c>
      <c r="B1007" s="115" t="s">
        <v>3052</v>
      </c>
      <c r="C1007" s="116" t="s">
        <v>94</v>
      </c>
      <c r="D1007" s="116">
        <v>0</v>
      </c>
      <c r="E1007" s="136" t="s">
        <v>572</v>
      </c>
      <c r="F1007" s="137" t="str">
        <f t="shared" si="45"/>
        <v/>
      </c>
      <c r="G1007" s="138" t="e">
        <f>IF(A1007&lt;&gt;"",IF(AND(#REF!="Padrão",$H$4=#REF!),BDI!$B$17,IF(AND(#REF!="Padrão",$H$4=#REF!),BDI!#REF!,IF(AND(#REF!="Diferenciado",$H$4=#REF!),BDI!$E$17,IF(AND(#REF!="Diferenciado",$H$4=#REF!),BDI!#REF!,IF(#REF!="ZERO",0))))),"")</f>
        <v>#REF!</v>
      </c>
      <c r="H1007" s="139" t="str">
        <f t="shared" si="46"/>
        <v/>
      </c>
      <c r="I1007" s="137" t="str">
        <f t="shared" si="47"/>
        <v/>
      </c>
    </row>
    <row r="1008" spans="1:9" hidden="1" x14ac:dyDescent="0.25">
      <c r="A1008" s="114" t="s">
        <v>3053</v>
      </c>
      <c r="B1008" s="115" t="s">
        <v>3831</v>
      </c>
      <c r="C1008" s="116" t="s">
        <v>96</v>
      </c>
      <c r="D1008" s="116">
        <v>0</v>
      </c>
      <c r="E1008" s="136" t="s">
        <v>572</v>
      </c>
      <c r="F1008" s="137" t="str">
        <f t="shared" si="45"/>
        <v/>
      </c>
      <c r="G1008" s="138" t="e">
        <f>IF(A1008&lt;&gt;"",IF(AND(#REF!="Padrão",$H$4=#REF!),BDI!$B$17,IF(AND(#REF!="Padrão",$H$4=#REF!),BDI!#REF!,IF(AND(#REF!="Diferenciado",$H$4=#REF!),BDI!$E$17,IF(AND(#REF!="Diferenciado",$H$4=#REF!),BDI!#REF!,IF(#REF!="ZERO",0))))),"")</f>
        <v>#REF!</v>
      </c>
      <c r="H1008" s="139" t="str">
        <f t="shared" si="46"/>
        <v/>
      </c>
      <c r="I1008" s="137" t="str">
        <f t="shared" si="47"/>
        <v/>
      </c>
    </row>
    <row r="1009" spans="1:9" hidden="1" x14ac:dyDescent="0.25">
      <c r="A1009" s="114" t="s">
        <v>3054</v>
      </c>
      <c r="B1009" s="115" t="s">
        <v>3055</v>
      </c>
      <c r="C1009" s="116" t="s">
        <v>96</v>
      </c>
      <c r="D1009" s="116">
        <v>0</v>
      </c>
      <c r="E1009" s="136" t="s">
        <v>572</v>
      </c>
      <c r="F1009" s="137" t="str">
        <f t="shared" si="45"/>
        <v/>
      </c>
      <c r="G1009" s="138" t="e">
        <f>IF(A1009&lt;&gt;"",IF(AND(#REF!="Padrão",$H$4=#REF!),BDI!$B$17,IF(AND(#REF!="Padrão",$H$4=#REF!),BDI!#REF!,IF(AND(#REF!="Diferenciado",$H$4=#REF!),BDI!$E$17,IF(AND(#REF!="Diferenciado",$H$4=#REF!),BDI!#REF!,IF(#REF!="ZERO",0))))),"")</f>
        <v>#REF!</v>
      </c>
      <c r="H1009" s="139" t="str">
        <f t="shared" si="46"/>
        <v/>
      </c>
      <c r="I1009" s="137" t="str">
        <f t="shared" si="47"/>
        <v/>
      </c>
    </row>
    <row r="1010" spans="1:9" hidden="1" x14ac:dyDescent="0.25">
      <c r="A1010" s="114" t="s">
        <v>3056</v>
      </c>
      <c r="B1010" s="115" t="s">
        <v>3832</v>
      </c>
      <c r="C1010" s="116" t="s">
        <v>96</v>
      </c>
      <c r="D1010" s="116">
        <v>0</v>
      </c>
      <c r="E1010" s="136" t="s">
        <v>572</v>
      </c>
      <c r="F1010" s="137" t="str">
        <f t="shared" si="45"/>
        <v/>
      </c>
      <c r="G1010" s="138" t="e">
        <f>IF(A1010&lt;&gt;"",IF(AND(#REF!="Padrão",$H$4=#REF!),BDI!$B$17,IF(AND(#REF!="Padrão",$H$4=#REF!),BDI!#REF!,IF(AND(#REF!="Diferenciado",$H$4=#REF!),BDI!$E$17,IF(AND(#REF!="Diferenciado",$H$4=#REF!),BDI!#REF!,IF(#REF!="ZERO",0))))),"")</f>
        <v>#REF!</v>
      </c>
      <c r="H1010" s="139" t="str">
        <f t="shared" si="46"/>
        <v/>
      </c>
      <c r="I1010" s="137" t="str">
        <f t="shared" si="47"/>
        <v/>
      </c>
    </row>
    <row r="1011" spans="1:9" hidden="1" x14ac:dyDescent="0.25">
      <c r="A1011" s="114" t="s">
        <v>3057</v>
      </c>
      <c r="B1011" s="115" t="s">
        <v>3058</v>
      </c>
      <c r="C1011" s="116" t="s">
        <v>96</v>
      </c>
      <c r="D1011" s="116">
        <v>0</v>
      </c>
      <c r="E1011" s="136" t="s">
        <v>572</v>
      </c>
      <c r="F1011" s="137" t="str">
        <f t="shared" si="45"/>
        <v/>
      </c>
      <c r="G1011" s="138" t="e">
        <f>IF(A1011&lt;&gt;"",IF(AND(#REF!="Padrão",$H$4=#REF!),BDI!$B$17,IF(AND(#REF!="Padrão",$H$4=#REF!),BDI!#REF!,IF(AND(#REF!="Diferenciado",$H$4=#REF!),BDI!$E$17,IF(AND(#REF!="Diferenciado",$H$4=#REF!),BDI!#REF!,IF(#REF!="ZERO",0))))),"")</f>
        <v>#REF!</v>
      </c>
      <c r="H1011" s="139" t="str">
        <f t="shared" si="46"/>
        <v/>
      </c>
      <c r="I1011" s="137" t="str">
        <f t="shared" si="47"/>
        <v/>
      </c>
    </row>
    <row r="1012" spans="1:9" hidden="1" x14ac:dyDescent="0.25">
      <c r="A1012" s="114" t="s">
        <v>3059</v>
      </c>
      <c r="B1012" s="115" t="s">
        <v>3060</v>
      </c>
      <c r="C1012" s="116" t="s">
        <v>96</v>
      </c>
      <c r="D1012" s="116">
        <v>0</v>
      </c>
      <c r="E1012" s="136" t="s">
        <v>572</v>
      </c>
      <c r="F1012" s="137" t="str">
        <f t="shared" si="45"/>
        <v/>
      </c>
      <c r="G1012" s="138" t="e">
        <f>IF(A1012&lt;&gt;"",IF(AND(#REF!="Padrão",$H$4=#REF!),BDI!$B$17,IF(AND(#REF!="Padrão",$H$4=#REF!),BDI!#REF!,IF(AND(#REF!="Diferenciado",$H$4=#REF!),BDI!$E$17,IF(AND(#REF!="Diferenciado",$H$4=#REF!),BDI!#REF!,IF(#REF!="ZERO",0))))),"")</f>
        <v>#REF!</v>
      </c>
      <c r="H1012" s="139" t="str">
        <f t="shared" si="46"/>
        <v/>
      </c>
      <c r="I1012" s="137" t="str">
        <f t="shared" si="47"/>
        <v/>
      </c>
    </row>
    <row r="1013" spans="1:9" hidden="1" x14ac:dyDescent="0.25">
      <c r="A1013" s="114" t="s">
        <v>3061</v>
      </c>
      <c r="B1013" s="115" t="s">
        <v>3062</v>
      </c>
      <c r="C1013" s="116" t="s">
        <v>20</v>
      </c>
      <c r="D1013" s="116">
        <v>0</v>
      </c>
      <c r="E1013" s="136" t="s">
        <v>572</v>
      </c>
      <c r="F1013" s="137" t="str">
        <f t="shared" si="45"/>
        <v/>
      </c>
      <c r="G1013" s="138" t="e">
        <f>IF(A1013&lt;&gt;"",IF(AND(#REF!="Padrão",$H$4=#REF!),BDI!$B$17,IF(AND(#REF!="Padrão",$H$4=#REF!),BDI!#REF!,IF(AND(#REF!="Diferenciado",$H$4=#REF!),BDI!$E$17,IF(AND(#REF!="Diferenciado",$H$4=#REF!),BDI!#REF!,IF(#REF!="ZERO",0))))),"")</f>
        <v>#REF!</v>
      </c>
      <c r="H1013" s="139" t="str">
        <f t="shared" si="46"/>
        <v/>
      </c>
      <c r="I1013" s="137" t="str">
        <f t="shared" si="47"/>
        <v/>
      </c>
    </row>
    <row r="1014" spans="1:9" hidden="1" x14ac:dyDescent="0.25">
      <c r="A1014" s="114" t="s">
        <v>3063</v>
      </c>
      <c r="B1014" s="115" t="s">
        <v>3064</v>
      </c>
      <c r="C1014" s="116" t="s">
        <v>3026</v>
      </c>
      <c r="D1014" s="116">
        <v>0</v>
      </c>
      <c r="E1014" s="136" t="s">
        <v>572</v>
      </c>
      <c r="F1014" s="137" t="str">
        <f t="shared" si="45"/>
        <v/>
      </c>
      <c r="G1014" s="138" t="e">
        <f>IF(A1014&lt;&gt;"",IF(AND(#REF!="Padrão",$H$4=#REF!),BDI!$B$17,IF(AND(#REF!="Padrão",$H$4=#REF!),BDI!#REF!,IF(AND(#REF!="Diferenciado",$H$4=#REF!),BDI!$E$17,IF(AND(#REF!="Diferenciado",$H$4=#REF!),BDI!#REF!,IF(#REF!="ZERO",0))))),"")</f>
        <v>#REF!</v>
      </c>
      <c r="H1014" s="139" t="str">
        <f t="shared" si="46"/>
        <v/>
      </c>
      <c r="I1014" s="137" t="str">
        <f t="shared" si="47"/>
        <v/>
      </c>
    </row>
    <row r="1015" spans="1:9" hidden="1" x14ac:dyDescent="0.25">
      <c r="A1015" s="114" t="s">
        <v>3065</v>
      </c>
      <c r="B1015" s="115" t="s">
        <v>3066</v>
      </c>
      <c r="C1015" s="116" t="s">
        <v>20</v>
      </c>
      <c r="D1015" s="116">
        <v>0</v>
      </c>
      <c r="E1015" s="136" t="s">
        <v>572</v>
      </c>
      <c r="F1015" s="137" t="str">
        <f t="shared" si="45"/>
        <v/>
      </c>
      <c r="G1015" s="138" t="e">
        <f>IF(A1015&lt;&gt;"",IF(AND(#REF!="Padrão",$H$4=#REF!),BDI!$B$17,IF(AND(#REF!="Padrão",$H$4=#REF!),BDI!#REF!,IF(AND(#REF!="Diferenciado",$H$4=#REF!),BDI!$E$17,IF(AND(#REF!="Diferenciado",$H$4=#REF!),BDI!#REF!,IF(#REF!="ZERO",0))))),"")</f>
        <v>#REF!</v>
      </c>
      <c r="H1015" s="139" t="str">
        <f t="shared" si="46"/>
        <v/>
      </c>
      <c r="I1015" s="137" t="str">
        <f t="shared" si="47"/>
        <v/>
      </c>
    </row>
    <row r="1016" spans="1:9" hidden="1" x14ac:dyDescent="0.25">
      <c r="A1016" s="114" t="s">
        <v>1170</v>
      </c>
      <c r="B1016" s="115" t="s">
        <v>3067</v>
      </c>
      <c r="C1016" s="116" t="s">
        <v>94</v>
      </c>
      <c r="D1016" s="116">
        <v>0</v>
      </c>
      <c r="E1016" s="136">
        <f ca="1">OFFSET(INDEX(Composições!A:J,MATCH(Orçamentária!A1016,Composições!A:A,0),8),2,0)</f>
        <v>36.012662543592</v>
      </c>
      <c r="F1016" s="137">
        <f t="shared" ca="1" si="45"/>
        <v>0</v>
      </c>
      <c r="G1016" s="138" t="e">
        <f>IF(A1016&lt;&gt;"",IF(AND(#REF!="Padrão",$H$4=#REF!),BDI!$B$17,IF(AND(#REF!="Padrão",$H$4=#REF!),BDI!#REF!,IF(AND(#REF!="Diferenciado",$H$4=#REF!),BDI!$E$17,IF(AND(#REF!="Diferenciado",$H$4=#REF!),BDI!#REF!,IF(#REF!="ZERO",0))))),"")</f>
        <v>#REF!</v>
      </c>
      <c r="H1016" s="139" t="e">
        <f t="shared" ca="1" si="46"/>
        <v>#REF!</v>
      </c>
      <c r="I1016" s="137" t="e">
        <f t="shared" ca="1" si="47"/>
        <v>#REF!</v>
      </c>
    </row>
    <row r="1017" spans="1:9" hidden="1" x14ac:dyDescent="0.25">
      <c r="A1017" s="114" t="s">
        <v>1173</v>
      </c>
      <c r="B1017" s="115" t="s">
        <v>3068</v>
      </c>
      <c r="C1017" s="116" t="s">
        <v>96</v>
      </c>
      <c r="D1017" s="116">
        <v>0</v>
      </c>
      <c r="E1017" s="136">
        <f ca="1">OFFSET(INDEX(Composições!A:J,MATCH(Orçamentária!A1017,Composições!A:A,0),8),2,0)</f>
        <v>8.8053220000000003</v>
      </c>
      <c r="F1017" s="137">
        <f t="shared" ca="1" si="45"/>
        <v>0</v>
      </c>
      <c r="G1017" s="138" t="e">
        <f>IF(A1017&lt;&gt;"",IF(AND(#REF!="Padrão",$H$4=#REF!),BDI!$B$17,IF(AND(#REF!="Padrão",$H$4=#REF!),BDI!#REF!,IF(AND(#REF!="Diferenciado",$H$4=#REF!),BDI!$E$17,IF(AND(#REF!="Diferenciado",$H$4=#REF!),BDI!#REF!,IF(#REF!="ZERO",0))))),"")</f>
        <v>#REF!</v>
      </c>
      <c r="H1017" s="139" t="e">
        <f t="shared" ca="1" si="46"/>
        <v>#REF!</v>
      </c>
      <c r="I1017" s="137" t="e">
        <f t="shared" ca="1" si="47"/>
        <v>#REF!</v>
      </c>
    </row>
    <row r="1018" spans="1:9" hidden="1" x14ac:dyDescent="0.25">
      <c r="A1018" s="114" t="s">
        <v>1174</v>
      </c>
      <c r="B1018" s="115" t="s">
        <v>3069</v>
      </c>
      <c r="C1018" s="116" t="s">
        <v>96</v>
      </c>
      <c r="D1018" s="116">
        <v>0</v>
      </c>
      <c r="E1018" s="136">
        <f ca="1">OFFSET(INDEX(Composições!A:J,MATCH(Orçamentária!A1018,Composições!A:A,0),8),2,0)</f>
        <v>18.145949999999999</v>
      </c>
      <c r="F1018" s="137">
        <f t="shared" ca="1" si="45"/>
        <v>0</v>
      </c>
      <c r="G1018" s="138" t="e">
        <f>IF(A1018&lt;&gt;"",IF(AND(#REF!="Padrão",$H$4=#REF!),BDI!$B$17,IF(AND(#REF!="Padrão",$H$4=#REF!),BDI!#REF!,IF(AND(#REF!="Diferenciado",$H$4=#REF!),BDI!$E$17,IF(AND(#REF!="Diferenciado",$H$4=#REF!),BDI!#REF!,IF(#REF!="ZERO",0))))),"")</f>
        <v>#REF!</v>
      </c>
      <c r="H1018" s="139" t="e">
        <f t="shared" ca="1" si="46"/>
        <v>#REF!</v>
      </c>
      <c r="I1018" s="137" t="e">
        <f t="shared" ca="1" si="47"/>
        <v>#REF!</v>
      </c>
    </row>
    <row r="1019" spans="1:9" hidden="1" x14ac:dyDescent="0.25">
      <c r="A1019" s="114" t="s">
        <v>1178</v>
      </c>
      <c r="B1019" s="115" t="s">
        <v>3070</v>
      </c>
      <c r="C1019" s="116" t="s">
        <v>96</v>
      </c>
      <c r="D1019" s="116">
        <v>0</v>
      </c>
      <c r="E1019" s="136">
        <f ca="1">OFFSET(INDEX(Composições!A:J,MATCH(Orçamentária!A1019,Composições!A:A,0),8),2,0)</f>
        <v>147.07158999999999</v>
      </c>
      <c r="F1019" s="137">
        <f t="shared" ca="1" si="45"/>
        <v>0</v>
      </c>
      <c r="G1019" s="138" t="e">
        <f>IF(A1019&lt;&gt;"",IF(AND(#REF!="Padrão",$H$4=#REF!),BDI!$B$17,IF(AND(#REF!="Padrão",$H$4=#REF!),BDI!#REF!,IF(AND(#REF!="Diferenciado",$H$4=#REF!),BDI!$E$17,IF(AND(#REF!="Diferenciado",$H$4=#REF!),BDI!#REF!,IF(#REF!="ZERO",0))))),"")</f>
        <v>#REF!</v>
      </c>
      <c r="H1019" s="139" t="e">
        <f t="shared" ca="1" si="46"/>
        <v>#REF!</v>
      </c>
      <c r="I1019" s="137" t="e">
        <f t="shared" ca="1" si="47"/>
        <v>#REF!</v>
      </c>
    </row>
    <row r="1020" spans="1:9" hidden="1" x14ac:dyDescent="0.25">
      <c r="A1020" s="114" t="s">
        <v>3071</v>
      </c>
      <c r="B1020" s="115" t="s">
        <v>3072</v>
      </c>
      <c r="C1020" s="116" t="s">
        <v>20</v>
      </c>
      <c r="D1020" s="116">
        <v>0</v>
      </c>
      <c r="E1020" s="136" t="s">
        <v>572</v>
      </c>
      <c r="F1020" s="137" t="str">
        <f t="shared" si="45"/>
        <v/>
      </c>
      <c r="G1020" s="138" t="e">
        <f>IF(A1020&lt;&gt;"",IF(AND(#REF!="Padrão",$H$4=#REF!),BDI!$B$17,IF(AND(#REF!="Padrão",$H$4=#REF!),BDI!#REF!,IF(AND(#REF!="Diferenciado",$H$4=#REF!),BDI!$E$17,IF(AND(#REF!="Diferenciado",$H$4=#REF!),BDI!#REF!,IF(#REF!="ZERO",0))))),"")</f>
        <v>#REF!</v>
      </c>
      <c r="H1020" s="139" t="str">
        <f t="shared" si="46"/>
        <v/>
      </c>
      <c r="I1020" s="137" t="str">
        <f t="shared" si="47"/>
        <v/>
      </c>
    </row>
    <row r="1021" spans="1:9" hidden="1" x14ac:dyDescent="0.25">
      <c r="A1021" s="114" t="s">
        <v>3073</v>
      </c>
      <c r="B1021" s="115" t="s">
        <v>3074</v>
      </c>
      <c r="C1021" s="116" t="s">
        <v>20</v>
      </c>
      <c r="D1021" s="116">
        <v>0</v>
      </c>
      <c r="E1021" s="136" t="s">
        <v>572</v>
      </c>
      <c r="F1021" s="137" t="str">
        <f t="shared" si="45"/>
        <v/>
      </c>
      <c r="G1021" s="138" t="e">
        <f>IF(A1021&lt;&gt;"",IF(AND(#REF!="Padrão",$H$4=#REF!),BDI!$B$17,IF(AND(#REF!="Padrão",$H$4=#REF!),BDI!#REF!,IF(AND(#REF!="Diferenciado",$H$4=#REF!),BDI!$E$17,IF(AND(#REF!="Diferenciado",$H$4=#REF!),BDI!#REF!,IF(#REF!="ZERO",0))))),"")</f>
        <v>#REF!</v>
      </c>
      <c r="H1021" s="139" t="str">
        <f t="shared" si="46"/>
        <v/>
      </c>
      <c r="I1021" s="137" t="str">
        <f t="shared" si="47"/>
        <v/>
      </c>
    </row>
    <row r="1022" spans="1:9" ht="25.5" hidden="1" x14ac:dyDescent="0.25">
      <c r="A1022" s="114" t="s">
        <v>3075</v>
      </c>
      <c r="B1022" s="115" t="s">
        <v>3076</v>
      </c>
      <c r="C1022" s="116" t="s">
        <v>20</v>
      </c>
      <c r="D1022" s="116">
        <v>0</v>
      </c>
      <c r="E1022" s="136" t="s">
        <v>572</v>
      </c>
      <c r="F1022" s="137" t="str">
        <f t="shared" si="45"/>
        <v/>
      </c>
      <c r="G1022" s="138" t="e">
        <f>IF(A1022&lt;&gt;"",IF(AND(#REF!="Padrão",$H$4=#REF!),BDI!$B$17,IF(AND(#REF!="Padrão",$H$4=#REF!),BDI!#REF!,IF(AND(#REF!="Diferenciado",$H$4=#REF!),BDI!$E$17,IF(AND(#REF!="Diferenciado",$H$4=#REF!),BDI!#REF!,IF(#REF!="ZERO",0))))),"")</f>
        <v>#REF!</v>
      </c>
      <c r="H1022" s="139" t="str">
        <f t="shared" si="46"/>
        <v/>
      </c>
      <c r="I1022" s="137" t="str">
        <f t="shared" si="47"/>
        <v/>
      </c>
    </row>
    <row r="1023" spans="1:9" ht="25.5" hidden="1" x14ac:dyDescent="0.25">
      <c r="A1023" s="114" t="s">
        <v>3077</v>
      </c>
      <c r="B1023" s="115" t="s">
        <v>3078</v>
      </c>
      <c r="C1023" s="116" t="s">
        <v>20</v>
      </c>
      <c r="D1023" s="116">
        <v>0</v>
      </c>
      <c r="E1023" s="136" t="s">
        <v>572</v>
      </c>
      <c r="F1023" s="137" t="str">
        <f t="shared" si="45"/>
        <v/>
      </c>
      <c r="G1023" s="138" t="e">
        <f>IF(A1023&lt;&gt;"",IF(AND(#REF!="Padrão",$H$4=#REF!),BDI!$B$17,IF(AND(#REF!="Padrão",$H$4=#REF!),BDI!#REF!,IF(AND(#REF!="Diferenciado",$H$4=#REF!),BDI!$E$17,IF(AND(#REF!="Diferenciado",$H$4=#REF!),BDI!#REF!,IF(#REF!="ZERO",0))))),"")</f>
        <v>#REF!</v>
      </c>
      <c r="H1023" s="139" t="str">
        <f t="shared" si="46"/>
        <v/>
      </c>
      <c r="I1023" s="137" t="str">
        <f t="shared" si="47"/>
        <v/>
      </c>
    </row>
    <row r="1024" spans="1:9" ht="25.5" hidden="1" x14ac:dyDescent="0.25">
      <c r="A1024" s="114" t="s">
        <v>3079</v>
      </c>
      <c r="B1024" s="115" t="s">
        <v>3080</v>
      </c>
      <c r="C1024" s="116" t="s">
        <v>20</v>
      </c>
      <c r="D1024" s="116">
        <v>0</v>
      </c>
      <c r="E1024" s="136" t="s">
        <v>572</v>
      </c>
      <c r="F1024" s="137" t="str">
        <f t="shared" si="45"/>
        <v/>
      </c>
      <c r="G1024" s="138" t="e">
        <f>IF(A1024&lt;&gt;"",IF(AND(#REF!="Padrão",$H$4=#REF!),BDI!$B$17,IF(AND(#REF!="Padrão",$H$4=#REF!),BDI!#REF!,IF(AND(#REF!="Diferenciado",$H$4=#REF!),BDI!$E$17,IF(AND(#REF!="Diferenciado",$H$4=#REF!),BDI!#REF!,IF(#REF!="ZERO",0))))),"")</f>
        <v>#REF!</v>
      </c>
      <c r="H1024" s="139" t="str">
        <f t="shared" si="46"/>
        <v/>
      </c>
      <c r="I1024" s="137" t="str">
        <f t="shared" si="47"/>
        <v/>
      </c>
    </row>
    <row r="1025" spans="1:9" ht="25.5" hidden="1" x14ac:dyDescent="0.25">
      <c r="A1025" s="114" t="s">
        <v>3081</v>
      </c>
      <c r="B1025" s="115" t="s">
        <v>3082</v>
      </c>
      <c r="C1025" s="116" t="s">
        <v>20</v>
      </c>
      <c r="D1025" s="116">
        <v>0</v>
      </c>
      <c r="E1025" s="136" t="s">
        <v>572</v>
      </c>
      <c r="F1025" s="137" t="str">
        <f t="shared" si="45"/>
        <v/>
      </c>
      <c r="G1025" s="138" t="e">
        <f>IF(A1025&lt;&gt;"",IF(AND(#REF!="Padrão",$H$4=#REF!),BDI!$B$17,IF(AND(#REF!="Padrão",$H$4=#REF!),BDI!#REF!,IF(AND(#REF!="Diferenciado",$H$4=#REF!),BDI!$E$17,IF(AND(#REF!="Diferenciado",$H$4=#REF!),BDI!#REF!,IF(#REF!="ZERO",0))))),"")</f>
        <v>#REF!</v>
      </c>
      <c r="H1025" s="139" t="str">
        <f t="shared" si="46"/>
        <v/>
      </c>
      <c r="I1025" s="137" t="str">
        <f t="shared" si="47"/>
        <v/>
      </c>
    </row>
    <row r="1026" spans="1:9" ht="25.5" hidden="1" x14ac:dyDescent="0.25">
      <c r="A1026" s="114" t="s">
        <v>3083</v>
      </c>
      <c r="B1026" s="115" t="s">
        <v>3084</v>
      </c>
      <c r="C1026" s="116" t="s">
        <v>20</v>
      </c>
      <c r="D1026" s="116">
        <v>0</v>
      </c>
      <c r="E1026" s="136" t="s">
        <v>572</v>
      </c>
      <c r="F1026" s="137" t="str">
        <f t="shared" si="45"/>
        <v/>
      </c>
      <c r="G1026" s="138" t="e">
        <f>IF(A1026&lt;&gt;"",IF(AND(#REF!="Padrão",$H$4=#REF!),BDI!$B$17,IF(AND(#REF!="Padrão",$H$4=#REF!),BDI!#REF!,IF(AND(#REF!="Diferenciado",$H$4=#REF!),BDI!$E$17,IF(AND(#REF!="Diferenciado",$H$4=#REF!),BDI!#REF!,IF(#REF!="ZERO",0))))),"")</f>
        <v>#REF!</v>
      </c>
      <c r="H1026" s="139" t="str">
        <f t="shared" si="46"/>
        <v/>
      </c>
      <c r="I1026" s="137" t="str">
        <f t="shared" si="47"/>
        <v/>
      </c>
    </row>
    <row r="1027" spans="1:9" hidden="1" x14ac:dyDescent="0.25">
      <c r="A1027" s="114" t="s">
        <v>3085</v>
      </c>
      <c r="B1027" s="115" t="s">
        <v>3086</v>
      </c>
      <c r="C1027" s="116" t="s">
        <v>94</v>
      </c>
      <c r="D1027" s="116">
        <v>0</v>
      </c>
      <c r="E1027" s="136" t="s">
        <v>572</v>
      </c>
      <c r="F1027" s="137" t="str">
        <f t="shared" si="45"/>
        <v/>
      </c>
      <c r="G1027" s="138" t="e">
        <f>IF(A1027&lt;&gt;"",IF(AND(#REF!="Padrão",$H$4=#REF!),BDI!$B$17,IF(AND(#REF!="Padrão",$H$4=#REF!),BDI!#REF!,IF(AND(#REF!="Diferenciado",$H$4=#REF!),BDI!$E$17,IF(AND(#REF!="Diferenciado",$H$4=#REF!),BDI!#REF!,IF(#REF!="ZERO",0))))),"")</f>
        <v>#REF!</v>
      </c>
      <c r="H1027" s="139" t="str">
        <f t="shared" si="46"/>
        <v/>
      </c>
      <c r="I1027" s="137" t="str">
        <f t="shared" si="47"/>
        <v/>
      </c>
    </row>
    <row r="1028" spans="1:9" hidden="1" x14ac:dyDescent="0.25">
      <c r="A1028" s="114" t="s">
        <v>3087</v>
      </c>
      <c r="B1028" s="115" t="s">
        <v>3088</v>
      </c>
      <c r="C1028" s="116" t="s">
        <v>94</v>
      </c>
      <c r="D1028" s="116">
        <v>0</v>
      </c>
      <c r="E1028" s="136" t="s">
        <v>572</v>
      </c>
      <c r="F1028" s="137" t="str">
        <f t="shared" si="45"/>
        <v/>
      </c>
      <c r="G1028" s="138" t="e">
        <f>IF(A1028&lt;&gt;"",IF(AND(#REF!="Padrão",$H$4=#REF!),BDI!$B$17,IF(AND(#REF!="Padrão",$H$4=#REF!),BDI!#REF!,IF(AND(#REF!="Diferenciado",$H$4=#REF!),BDI!$E$17,IF(AND(#REF!="Diferenciado",$H$4=#REF!),BDI!#REF!,IF(#REF!="ZERO",0))))),"")</f>
        <v>#REF!</v>
      </c>
      <c r="H1028" s="139" t="str">
        <f t="shared" si="46"/>
        <v/>
      </c>
      <c r="I1028" s="137" t="str">
        <f t="shared" si="47"/>
        <v/>
      </c>
    </row>
    <row r="1029" spans="1:9" hidden="1" x14ac:dyDescent="0.25">
      <c r="A1029" s="114" t="s">
        <v>3089</v>
      </c>
      <c r="B1029" s="115" t="s">
        <v>3090</v>
      </c>
      <c r="C1029" s="116" t="s">
        <v>94</v>
      </c>
      <c r="D1029" s="116">
        <v>0</v>
      </c>
      <c r="E1029" s="136" t="s">
        <v>572</v>
      </c>
      <c r="F1029" s="137" t="str">
        <f t="shared" si="45"/>
        <v/>
      </c>
      <c r="G1029" s="138" t="e">
        <f>IF(A1029&lt;&gt;"",IF(AND(#REF!="Padrão",$H$4=#REF!),BDI!$B$17,IF(AND(#REF!="Padrão",$H$4=#REF!),BDI!#REF!,IF(AND(#REF!="Diferenciado",$H$4=#REF!),BDI!$E$17,IF(AND(#REF!="Diferenciado",$H$4=#REF!),BDI!#REF!,IF(#REF!="ZERO",0))))),"")</f>
        <v>#REF!</v>
      </c>
      <c r="H1029" s="139" t="str">
        <f t="shared" si="46"/>
        <v/>
      </c>
      <c r="I1029" s="137" t="str">
        <f t="shared" si="47"/>
        <v/>
      </c>
    </row>
    <row r="1030" spans="1:9" hidden="1" x14ac:dyDescent="0.25">
      <c r="A1030" s="114" t="s">
        <v>3091</v>
      </c>
      <c r="B1030" s="115" t="s">
        <v>3092</v>
      </c>
      <c r="C1030" s="116" t="s">
        <v>94</v>
      </c>
      <c r="D1030" s="116">
        <v>0</v>
      </c>
      <c r="E1030" s="136" t="s">
        <v>572</v>
      </c>
      <c r="F1030" s="137" t="str">
        <f t="shared" si="45"/>
        <v/>
      </c>
      <c r="G1030" s="138" t="e">
        <f>IF(A1030&lt;&gt;"",IF(AND(#REF!="Padrão",$H$4=#REF!),BDI!$B$17,IF(AND(#REF!="Padrão",$H$4=#REF!),BDI!#REF!,IF(AND(#REF!="Diferenciado",$H$4=#REF!),BDI!$E$17,IF(AND(#REF!="Diferenciado",$H$4=#REF!),BDI!#REF!,IF(#REF!="ZERO",0))))),"")</f>
        <v>#REF!</v>
      </c>
      <c r="H1030" s="139" t="str">
        <f t="shared" si="46"/>
        <v/>
      </c>
      <c r="I1030" s="137" t="str">
        <f t="shared" si="47"/>
        <v/>
      </c>
    </row>
    <row r="1031" spans="1:9" hidden="1" x14ac:dyDescent="0.25">
      <c r="A1031" s="114" t="s">
        <v>3093</v>
      </c>
      <c r="B1031" s="115" t="s">
        <v>3094</v>
      </c>
      <c r="C1031" s="116" t="s">
        <v>94</v>
      </c>
      <c r="D1031" s="116">
        <v>0</v>
      </c>
      <c r="E1031" s="136" t="s">
        <v>572</v>
      </c>
      <c r="F1031" s="137" t="str">
        <f t="shared" ref="F1031:F1094" si="48">IF(ISNUMBER(E1031),D1031*E1031,"")</f>
        <v/>
      </c>
      <c r="G1031" s="138" t="e">
        <f>IF(A1031&lt;&gt;"",IF(AND(#REF!="Padrão",$H$4=#REF!),BDI!$B$17,IF(AND(#REF!="Padrão",$H$4=#REF!),BDI!#REF!,IF(AND(#REF!="Diferenciado",$H$4=#REF!),BDI!$E$17,IF(AND(#REF!="Diferenciado",$H$4=#REF!),BDI!#REF!,IF(#REF!="ZERO",0))))),"")</f>
        <v>#REF!</v>
      </c>
      <c r="H1031" s="139" t="str">
        <f t="shared" ref="H1031:H1094" si="49">IF(ISNUMBER(E1031),ROUND(E1031*(1+G1031),2),"")</f>
        <v/>
      </c>
      <c r="I1031" s="137" t="str">
        <f t="shared" ref="I1031:I1094" si="50">IF(ISNUMBER(E1031),ROUND(H1031*D1031,2),"")</f>
        <v/>
      </c>
    </row>
    <row r="1032" spans="1:9" hidden="1" x14ac:dyDescent="0.25">
      <c r="A1032" s="114" t="s">
        <v>3095</v>
      </c>
      <c r="B1032" s="115" t="s">
        <v>3096</v>
      </c>
      <c r="C1032" s="116" t="s">
        <v>94</v>
      </c>
      <c r="D1032" s="116">
        <v>0</v>
      </c>
      <c r="E1032" s="136" t="s">
        <v>572</v>
      </c>
      <c r="F1032" s="137" t="str">
        <f t="shared" si="48"/>
        <v/>
      </c>
      <c r="G1032" s="138" t="e">
        <f>IF(A1032&lt;&gt;"",IF(AND(#REF!="Padrão",$H$4=#REF!),BDI!$B$17,IF(AND(#REF!="Padrão",$H$4=#REF!),BDI!#REF!,IF(AND(#REF!="Diferenciado",$H$4=#REF!),BDI!$E$17,IF(AND(#REF!="Diferenciado",$H$4=#REF!),BDI!#REF!,IF(#REF!="ZERO",0))))),"")</f>
        <v>#REF!</v>
      </c>
      <c r="H1032" s="139" t="str">
        <f t="shared" si="49"/>
        <v/>
      </c>
      <c r="I1032" s="137" t="str">
        <f t="shared" si="50"/>
        <v/>
      </c>
    </row>
    <row r="1033" spans="1:9" hidden="1" x14ac:dyDescent="0.25">
      <c r="A1033" s="114" t="s">
        <v>3097</v>
      </c>
      <c r="B1033" s="115" t="s">
        <v>3098</v>
      </c>
      <c r="C1033" s="116" t="s">
        <v>94</v>
      </c>
      <c r="D1033" s="116">
        <v>0</v>
      </c>
      <c r="E1033" s="136" t="s">
        <v>572</v>
      </c>
      <c r="F1033" s="137" t="str">
        <f t="shared" si="48"/>
        <v/>
      </c>
      <c r="G1033" s="138" t="e">
        <f>IF(A1033&lt;&gt;"",IF(AND(#REF!="Padrão",$H$4=#REF!),BDI!$B$17,IF(AND(#REF!="Padrão",$H$4=#REF!),BDI!#REF!,IF(AND(#REF!="Diferenciado",$H$4=#REF!),BDI!$E$17,IF(AND(#REF!="Diferenciado",$H$4=#REF!),BDI!#REF!,IF(#REF!="ZERO",0))))),"")</f>
        <v>#REF!</v>
      </c>
      <c r="H1033" s="139" t="str">
        <f t="shared" si="49"/>
        <v/>
      </c>
      <c r="I1033" s="137" t="str">
        <f t="shared" si="50"/>
        <v/>
      </c>
    </row>
    <row r="1034" spans="1:9" hidden="1" x14ac:dyDescent="0.25">
      <c r="A1034" s="114" t="s">
        <v>1182</v>
      </c>
      <c r="B1034" s="115" t="s">
        <v>3099</v>
      </c>
      <c r="C1034" s="116" t="s">
        <v>3050</v>
      </c>
      <c r="D1034" s="116">
        <v>0</v>
      </c>
      <c r="E1034" s="136">
        <f ca="1">OFFSET(INDEX(Composições!A:J,MATCH(Orçamentária!A1034,Composições!A:A,0),8),2,0)</f>
        <v>694.6875</v>
      </c>
      <c r="F1034" s="137">
        <f t="shared" ca="1" si="48"/>
        <v>0</v>
      </c>
      <c r="G1034" s="138" t="e">
        <f>IF(A1034&lt;&gt;"",IF(AND(#REF!="Padrão",$H$4=#REF!),BDI!$B$17,IF(AND(#REF!="Padrão",$H$4=#REF!),BDI!#REF!,IF(AND(#REF!="Diferenciado",$H$4=#REF!),BDI!$E$17,IF(AND(#REF!="Diferenciado",$H$4=#REF!),BDI!#REF!,IF(#REF!="ZERO",0))))),"")</f>
        <v>#REF!</v>
      </c>
      <c r="H1034" s="139" t="e">
        <f t="shared" ca="1" si="49"/>
        <v>#REF!</v>
      </c>
      <c r="I1034" s="137" t="e">
        <f t="shared" ca="1" si="50"/>
        <v>#REF!</v>
      </c>
    </row>
    <row r="1035" spans="1:9" hidden="1" x14ac:dyDescent="0.25">
      <c r="A1035" s="114" t="s">
        <v>1184</v>
      </c>
      <c r="B1035" s="115" t="s">
        <v>3100</v>
      </c>
      <c r="C1035" s="116" t="s">
        <v>3050</v>
      </c>
      <c r="D1035" s="116">
        <v>0</v>
      </c>
      <c r="E1035" s="136">
        <f ca="1">OFFSET(INDEX(Composições!A:J,MATCH(Orçamentária!A1035,Composições!A:A,0),8),2,0)</f>
        <v>434.17849999999993</v>
      </c>
      <c r="F1035" s="137">
        <f t="shared" ca="1" si="48"/>
        <v>0</v>
      </c>
      <c r="G1035" s="138" t="e">
        <f>IF(A1035&lt;&gt;"",IF(AND(#REF!="Padrão",$H$4=#REF!),BDI!$B$17,IF(AND(#REF!="Padrão",$H$4=#REF!),BDI!#REF!,IF(AND(#REF!="Diferenciado",$H$4=#REF!),BDI!$E$17,IF(AND(#REF!="Diferenciado",$H$4=#REF!),BDI!#REF!,IF(#REF!="ZERO",0))))),"")</f>
        <v>#REF!</v>
      </c>
      <c r="H1035" s="139" t="e">
        <f t="shared" ca="1" si="49"/>
        <v>#REF!</v>
      </c>
      <c r="I1035" s="137" t="e">
        <f t="shared" ca="1" si="50"/>
        <v>#REF!</v>
      </c>
    </row>
    <row r="1036" spans="1:9" hidden="1" x14ac:dyDescent="0.25">
      <c r="A1036" s="114" t="s">
        <v>1186</v>
      </c>
      <c r="B1036" s="115" t="s">
        <v>3101</v>
      </c>
      <c r="C1036" s="116" t="s">
        <v>96</v>
      </c>
      <c r="D1036" s="116">
        <v>0</v>
      </c>
      <c r="E1036" s="136">
        <f ca="1">OFFSET(INDEX(Composições!A:J,MATCH(Orçamentária!A1036,Composições!A:A,0),8),2,0)</f>
        <v>213.75</v>
      </c>
      <c r="F1036" s="137">
        <f t="shared" ca="1" si="48"/>
        <v>0</v>
      </c>
      <c r="G1036" s="138" t="e">
        <f>IF(A1036&lt;&gt;"",IF(AND(#REF!="Padrão",$H$4=#REF!),BDI!$B$17,IF(AND(#REF!="Padrão",$H$4=#REF!),BDI!#REF!,IF(AND(#REF!="Diferenciado",$H$4=#REF!),BDI!$E$17,IF(AND(#REF!="Diferenciado",$H$4=#REF!),BDI!#REF!,IF(#REF!="ZERO",0))))),"")</f>
        <v>#REF!</v>
      </c>
      <c r="H1036" s="139" t="e">
        <f t="shared" ca="1" si="49"/>
        <v>#REF!</v>
      </c>
      <c r="I1036" s="137" t="e">
        <f t="shared" ca="1" si="50"/>
        <v>#REF!</v>
      </c>
    </row>
    <row r="1037" spans="1:9" ht="25.5" hidden="1" x14ac:dyDescent="0.25">
      <c r="A1037" s="114" t="s">
        <v>3102</v>
      </c>
      <c r="B1037" s="115" t="s">
        <v>3103</v>
      </c>
      <c r="C1037" s="116" t="s">
        <v>2606</v>
      </c>
      <c r="D1037" s="116">
        <v>0</v>
      </c>
      <c r="E1037" s="136" t="s">
        <v>572</v>
      </c>
      <c r="F1037" s="137" t="str">
        <f t="shared" si="48"/>
        <v/>
      </c>
      <c r="G1037" s="138" t="e">
        <f>IF(A1037&lt;&gt;"",IF(AND(#REF!="Padrão",$H$4=#REF!),BDI!$B$17,IF(AND(#REF!="Padrão",$H$4=#REF!),BDI!#REF!,IF(AND(#REF!="Diferenciado",$H$4=#REF!),BDI!$E$17,IF(AND(#REF!="Diferenciado",$H$4=#REF!),BDI!#REF!,IF(#REF!="ZERO",0))))),"")</f>
        <v>#REF!</v>
      </c>
      <c r="H1037" s="139" t="str">
        <f t="shared" si="49"/>
        <v/>
      </c>
      <c r="I1037" s="137" t="str">
        <f t="shared" si="50"/>
        <v/>
      </c>
    </row>
    <row r="1038" spans="1:9" hidden="1" x14ac:dyDescent="0.25">
      <c r="A1038" s="114" t="s">
        <v>3104</v>
      </c>
      <c r="B1038" s="115" t="s">
        <v>3105</v>
      </c>
      <c r="C1038" s="116" t="s">
        <v>2606</v>
      </c>
      <c r="D1038" s="116">
        <v>0</v>
      </c>
      <c r="E1038" s="136" t="s">
        <v>572</v>
      </c>
      <c r="F1038" s="137" t="str">
        <f t="shared" si="48"/>
        <v/>
      </c>
      <c r="G1038" s="138" t="e">
        <f>IF(A1038&lt;&gt;"",IF(AND(#REF!="Padrão",$H$4=#REF!),BDI!$B$17,IF(AND(#REF!="Padrão",$H$4=#REF!),BDI!#REF!,IF(AND(#REF!="Diferenciado",$H$4=#REF!),BDI!$E$17,IF(AND(#REF!="Diferenciado",$H$4=#REF!),BDI!#REF!,IF(#REF!="ZERO",0))))),"")</f>
        <v>#REF!</v>
      </c>
      <c r="H1038" s="139" t="str">
        <f t="shared" si="49"/>
        <v/>
      </c>
      <c r="I1038" s="137" t="str">
        <f t="shared" si="50"/>
        <v/>
      </c>
    </row>
    <row r="1039" spans="1:9" hidden="1" x14ac:dyDescent="0.25">
      <c r="A1039" s="114" t="s">
        <v>3106</v>
      </c>
      <c r="B1039" s="115" t="s">
        <v>3107</v>
      </c>
      <c r="C1039" s="116" t="s">
        <v>2606</v>
      </c>
      <c r="D1039" s="116">
        <v>0</v>
      </c>
      <c r="E1039" s="136" t="s">
        <v>572</v>
      </c>
      <c r="F1039" s="137" t="str">
        <f t="shared" si="48"/>
        <v/>
      </c>
      <c r="G1039" s="138" t="e">
        <f>IF(A1039&lt;&gt;"",IF(AND(#REF!="Padrão",$H$4=#REF!),BDI!$B$17,IF(AND(#REF!="Padrão",$H$4=#REF!),BDI!#REF!,IF(AND(#REF!="Diferenciado",$H$4=#REF!),BDI!$E$17,IF(AND(#REF!="Diferenciado",$H$4=#REF!),BDI!#REF!,IF(#REF!="ZERO",0))))),"")</f>
        <v>#REF!</v>
      </c>
      <c r="H1039" s="139" t="str">
        <f t="shared" si="49"/>
        <v/>
      </c>
      <c r="I1039" s="137" t="str">
        <f t="shared" si="50"/>
        <v/>
      </c>
    </row>
    <row r="1040" spans="1:9" hidden="1" x14ac:dyDescent="0.25">
      <c r="A1040" s="114" t="s">
        <v>3108</v>
      </c>
      <c r="B1040" s="115" t="s">
        <v>3109</v>
      </c>
      <c r="C1040" s="116" t="s">
        <v>2606</v>
      </c>
      <c r="D1040" s="116">
        <v>0</v>
      </c>
      <c r="E1040" s="136" t="s">
        <v>572</v>
      </c>
      <c r="F1040" s="137" t="str">
        <f t="shared" si="48"/>
        <v/>
      </c>
      <c r="G1040" s="138" t="e">
        <f>IF(A1040&lt;&gt;"",IF(AND(#REF!="Padrão",$H$4=#REF!),BDI!$B$17,IF(AND(#REF!="Padrão",$H$4=#REF!),BDI!#REF!,IF(AND(#REF!="Diferenciado",$H$4=#REF!),BDI!$E$17,IF(AND(#REF!="Diferenciado",$H$4=#REF!),BDI!#REF!,IF(#REF!="ZERO",0))))),"")</f>
        <v>#REF!</v>
      </c>
      <c r="H1040" s="139" t="str">
        <f t="shared" si="49"/>
        <v/>
      </c>
      <c r="I1040" s="137" t="str">
        <f t="shared" si="50"/>
        <v/>
      </c>
    </row>
    <row r="1041" spans="1:9" hidden="1" x14ac:dyDescent="0.25">
      <c r="A1041" s="114" t="s">
        <v>3110</v>
      </c>
      <c r="B1041" s="115" t="s">
        <v>3111</v>
      </c>
      <c r="C1041" s="116" t="s">
        <v>2606</v>
      </c>
      <c r="D1041" s="116">
        <v>0</v>
      </c>
      <c r="E1041" s="136" t="s">
        <v>572</v>
      </c>
      <c r="F1041" s="137" t="str">
        <f t="shared" si="48"/>
        <v/>
      </c>
      <c r="G1041" s="138" t="e">
        <f>IF(A1041&lt;&gt;"",IF(AND(#REF!="Padrão",$H$4=#REF!),BDI!$B$17,IF(AND(#REF!="Padrão",$H$4=#REF!),BDI!#REF!,IF(AND(#REF!="Diferenciado",$H$4=#REF!),BDI!$E$17,IF(AND(#REF!="Diferenciado",$H$4=#REF!),BDI!#REF!,IF(#REF!="ZERO",0))))),"")</f>
        <v>#REF!</v>
      </c>
      <c r="H1041" s="139" t="str">
        <f t="shared" si="49"/>
        <v/>
      </c>
      <c r="I1041" s="137" t="str">
        <f t="shared" si="50"/>
        <v/>
      </c>
    </row>
    <row r="1042" spans="1:9" hidden="1" x14ac:dyDescent="0.25">
      <c r="A1042" s="114" t="s">
        <v>3112</v>
      </c>
      <c r="B1042" s="115" t="s">
        <v>3113</v>
      </c>
      <c r="C1042" s="116" t="s">
        <v>2606</v>
      </c>
      <c r="D1042" s="116">
        <v>0</v>
      </c>
      <c r="E1042" s="136" t="s">
        <v>572</v>
      </c>
      <c r="F1042" s="137" t="str">
        <f t="shared" si="48"/>
        <v/>
      </c>
      <c r="G1042" s="138" t="e">
        <f>IF(A1042&lt;&gt;"",IF(AND(#REF!="Padrão",$H$4=#REF!),BDI!$B$17,IF(AND(#REF!="Padrão",$H$4=#REF!),BDI!#REF!,IF(AND(#REF!="Diferenciado",$H$4=#REF!),BDI!$E$17,IF(AND(#REF!="Diferenciado",$H$4=#REF!),BDI!#REF!,IF(#REF!="ZERO",0))))),"")</f>
        <v>#REF!</v>
      </c>
      <c r="H1042" s="139" t="str">
        <f t="shared" si="49"/>
        <v/>
      </c>
      <c r="I1042" s="137" t="str">
        <f t="shared" si="50"/>
        <v/>
      </c>
    </row>
    <row r="1043" spans="1:9" hidden="1" x14ac:dyDescent="0.25">
      <c r="A1043" s="114" t="s">
        <v>3114</v>
      </c>
      <c r="B1043" s="115" t="s">
        <v>3115</v>
      </c>
      <c r="C1043" s="116" t="s">
        <v>2606</v>
      </c>
      <c r="D1043" s="116">
        <v>0</v>
      </c>
      <c r="E1043" s="136" t="s">
        <v>572</v>
      </c>
      <c r="F1043" s="137" t="str">
        <f t="shared" si="48"/>
        <v/>
      </c>
      <c r="G1043" s="138" t="e">
        <f>IF(A1043&lt;&gt;"",IF(AND(#REF!="Padrão",$H$4=#REF!),BDI!$B$17,IF(AND(#REF!="Padrão",$H$4=#REF!),BDI!#REF!,IF(AND(#REF!="Diferenciado",$H$4=#REF!),BDI!$E$17,IF(AND(#REF!="Diferenciado",$H$4=#REF!),BDI!#REF!,IF(#REF!="ZERO",0))))),"")</f>
        <v>#REF!</v>
      </c>
      <c r="H1043" s="139" t="str">
        <f t="shared" si="49"/>
        <v/>
      </c>
      <c r="I1043" s="137" t="str">
        <f t="shared" si="50"/>
        <v/>
      </c>
    </row>
    <row r="1044" spans="1:9" hidden="1" x14ac:dyDescent="0.25">
      <c r="A1044" s="114" t="s">
        <v>3116</v>
      </c>
      <c r="B1044" s="115" t="s">
        <v>3117</v>
      </c>
      <c r="C1044" s="116" t="s">
        <v>2606</v>
      </c>
      <c r="D1044" s="116">
        <v>0</v>
      </c>
      <c r="E1044" s="136" t="s">
        <v>572</v>
      </c>
      <c r="F1044" s="137" t="str">
        <f t="shared" si="48"/>
        <v/>
      </c>
      <c r="G1044" s="138" t="e">
        <f>IF(A1044&lt;&gt;"",IF(AND(#REF!="Padrão",$H$4=#REF!),BDI!$B$17,IF(AND(#REF!="Padrão",$H$4=#REF!),BDI!#REF!,IF(AND(#REF!="Diferenciado",$H$4=#REF!),BDI!$E$17,IF(AND(#REF!="Diferenciado",$H$4=#REF!),BDI!#REF!,IF(#REF!="ZERO",0))))),"")</f>
        <v>#REF!</v>
      </c>
      <c r="H1044" s="139" t="str">
        <f t="shared" si="49"/>
        <v/>
      </c>
      <c r="I1044" s="137" t="str">
        <f t="shared" si="50"/>
        <v/>
      </c>
    </row>
    <row r="1045" spans="1:9" hidden="1" x14ac:dyDescent="0.25">
      <c r="A1045" s="114" t="s">
        <v>3118</v>
      </c>
      <c r="B1045" s="115" t="s">
        <v>3119</v>
      </c>
      <c r="C1045" s="116" t="s">
        <v>2606</v>
      </c>
      <c r="D1045" s="116">
        <v>0</v>
      </c>
      <c r="E1045" s="136" t="s">
        <v>572</v>
      </c>
      <c r="F1045" s="137" t="str">
        <f t="shared" si="48"/>
        <v/>
      </c>
      <c r="G1045" s="138" t="e">
        <f>IF(A1045&lt;&gt;"",IF(AND(#REF!="Padrão",$H$4=#REF!),BDI!$B$17,IF(AND(#REF!="Padrão",$H$4=#REF!),BDI!#REF!,IF(AND(#REF!="Diferenciado",$H$4=#REF!),BDI!$E$17,IF(AND(#REF!="Diferenciado",$H$4=#REF!),BDI!#REF!,IF(#REF!="ZERO",0))))),"")</f>
        <v>#REF!</v>
      </c>
      <c r="H1045" s="139" t="str">
        <f t="shared" si="49"/>
        <v/>
      </c>
      <c r="I1045" s="137" t="str">
        <f t="shared" si="50"/>
        <v/>
      </c>
    </row>
    <row r="1046" spans="1:9" hidden="1" x14ac:dyDescent="0.25">
      <c r="A1046" s="114" t="s">
        <v>1188</v>
      </c>
      <c r="B1046" s="115" t="s">
        <v>3120</v>
      </c>
      <c r="C1046" s="116" t="s">
        <v>2606</v>
      </c>
      <c r="D1046" s="116">
        <v>0</v>
      </c>
      <c r="E1046" s="136">
        <f ca="1">OFFSET(INDEX(Composições!A:J,MATCH(Orçamentária!A1046,Composições!A:A,0),8),2,0)</f>
        <v>3900.9940325999996</v>
      </c>
      <c r="F1046" s="137">
        <f t="shared" ca="1" si="48"/>
        <v>0</v>
      </c>
      <c r="G1046" s="138" t="e">
        <f>IF(A1046&lt;&gt;"",IF(AND(#REF!="Padrão",$H$4=#REF!),BDI!$B$17,IF(AND(#REF!="Padrão",$H$4=#REF!),BDI!#REF!,IF(AND(#REF!="Diferenciado",$H$4=#REF!),BDI!$E$17,IF(AND(#REF!="Diferenciado",$H$4=#REF!),BDI!#REF!,IF(#REF!="ZERO",0))))),"")</f>
        <v>#REF!</v>
      </c>
      <c r="H1046" s="139" t="e">
        <f t="shared" ca="1" si="49"/>
        <v>#REF!</v>
      </c>
      <c r="I1046" s="137" t="e">
        <f t="shared" ca="1" si="50"/>
        <v>#REF!</v>
      </c>
    </row>
    <row r="1047" spans="1:9" hidden="1" x14ac:dyDescent="0.25">
      <c r="A1047" s="114" t="s">
        <v>3121</v>
      </c>
      <c r="B1047" s="115" t="s">
        <v>3122</v>
      </c>
      <c r="C1047" s="116" t="s">
        <v>2828</v>
      </c>
      <c r="D1047" s="116">
        <v>0</v>
      </c>
      <c r="E1047" s="136" t="s">
        <v>572</v>
      </c>
      <c r="F1047" s="137" t="str">
        <f t="shared" si="48"/>
        <v/>
      </c>
      <c r="G1047" s="138" t="e">
        <f>IF(A1047&lt;&gt;"",IF(AND(#REF!="Padrão",$H$4=#REF!),BDI!$B$17,IF(AND(#REF!="Padrão",$H$4=#REF!),BDI!#REF!,IF(AND(#REF!="Diferenciado",$H$4=#REF!),BDI!$E$17,IF(AND(#REF!="Diferenciado",$H$4=#REF!),BDI!#REF!,IF(#REF!="ZERO",0))))),"")</f>
        <v>#REF!</v>
      </c>
      <c r="H1047" s="139" t="str">
        <f t="shared" si="49"/>
        <v/>
      </c>
      <c r="I1047" s="137" t="str">
        <f t="shared" si="50"/>
        <v/>
      </c>
    </row>
    <row r="1048" spans="1:9" hidden="1" x14ac:dyDescent="0.25">
      <c r="A1048" s="114" t="s">
        <v>3123</v>
      </c>
      <c r="B1048" s="115" t="s">
        <v>3124</v>
      </c>
      <c r="C1048" s="116" t="s">
        <v>2828</v>
      </c>
      <c r="D1048" s="116">
        <v>0</v>
      </c>
      <c r="E1048" s="136" t="s">
        <v>572</v>
      </c>
      <c r="F1048" s="137" t="str">
        <f t="shared" si="48"/>
        <v/>
      </c>
      <c r="G1048" s="138" t="e">
        <f>IF(A1048&lt;&gt;"",IF(AND(#REF!="Padrão",$H$4=#REF!),BDI!$B$17,IF(AND(#REF!="Padrão",$H$4=#REF!),BDI!#REF!,IF(AND(#REF!="Diferenciado",$H$4=#REF!),BDI!$E$17,IF(AND(#REF!="Diferenciado",$H$4=#REF!),BDI!#REF!,IF(#REF!="ZERO",0))))),"")</f>
        <v>#REF!</v>
      </c>
      <c r="H1048" s="139" t="str">
        <f t="shared" si="49"/>
        <v/>
      </c>
      <c r="I1048" s="137" t="str">
        <f t="shared" si="50"/>
        <v/>
      </c>
    </row>
    <row r="1049" spans="1:9" hidden="1" x14ac:dyDescent="0.25">
      <c r="A1049" s="114" t="s">
        <v>3125</v>
      </c>
      <c r="B1049" s="115" t="s">
        <v>3126</v>
      </c>
      <c r="C1049" s="116" t="s">
        <v>2828</v>
      </c>
      <c r="D1049" s="116">
        <v>0</v>
      </c>
      <c r="E1049" s="136" t="s">
        <v>572</v>
      </c>
      <c r="F1049" s="137" t="str">
        <f t="shared" si="48"/>
        <v/>
      </c>
      <c r="G1049" s="138" t="e">
        <f>IF(A1049&lt;&gt;"",IF(AND(#REF!="Padrão",$H$4=#REF!),BDI!$B$17,IF(AND(#REF!="Padrão",$H$4=#REF!),BDI!#REF!,IF(AND(#REF!="Diferenciado",$H$4=#REF!),BDI!$E$17,IF(AND(#REF!="Diferenciado",$H$4=#REF!),BDI!#REF!,IF(#REF!="ZERO",0))))),"")</f>
        <v>#REF!</v>
      </c>
      <c r="H1049" s="139" t="str">
        <f t="shared" si="49"/>
        <v/>
      </c>
      <c r="I1049" s="137" t="str">
        <f t="shared" si="50"/>
        <v/>
      </c>
    </row>
    <row r="1050" spans="1:9" hidden="1" x14ac:dyDescent="0.25">
      <c r="A1050" s="114" t="s">
        <v>3127</v>
      </c>
      <c r="B1050" s="115" t="s">
        <v>3128</v>
      </c>
      <c r="C1050" s="116" t="s">
        <v>2828</v>
      </c>
      <c r="D1050" s="116">
        <v>0</v>
      </c>
      <c r="E1050" s="136" t="s">
        <v>572</v>
      </c>
      <c r="F1050" s="137" t="str">
        <f t="shared" si="48"/>
        <v/>
      </c>
      <c r="G1050" s="138" t="e">
        <f>IF(A1050&lt;&gt;"",IF(AND(#REF!="Padrão",$H$4=#REF!),BDI!$B$17,IF(AND(#REF!="Padrão",$H$4=#REF!),BDI!#REF!,IF(AND(#REF!="Diferenciado",$H$4=#REF!),BDI!$E$17,IF(AND(#REF!="Diferenciado",$H$4=#REF!),BDI!#REF!,IF(#REF!="ZERO",0))))),"")</f>
        <v>#REF!</v>
      </c>
      <c r="H1050" s="139" t="str">
        <f t="shared" si="49"/>
        <v/>
      </c>
      <c r="I1050" s="137" t="str">
        <f t="shared" si="50"/>
        <v/>
      </c>
    </row>
    <row r="1051" spans="1:9" hidden="1" x14ac:dyDescent="0.25">
      <c r="A1051" s="114" t="s">
        <v>3129</v>
      </c>
      <c r="B1051" s="115" t="s">
        <v>3130</v>
      </c>
      <c r="C1051" s="116" t="s">
        <v>20</v>
      </c>
      <c r="D1051" s="116">
        <v>0</v>
      </c>
      <c r="E1051" s="136" t="s">
        <v>572</v>
      </c>
      <c r="F1051" s="137" t="str">
        <f t="shared" si="48"/>
        <v/>
      </c>
      <c r="G1051" s="138" t="e">
        <f>IF(A1051&lt;&gt;"",IF(AND(#REF!="Padrão",$H$4=#REF!),BDI!$B$17,IF(AND(#REF!="Padrão",$H$4=#REF!),BDI!#REF!,IF(AND(#REF!="Diferenciado",$H$4=#REF!),BDI!$E$17,IF(AND(#REF!="Diferenciado",$H$4=#REF!),BDI!#REF!,IF(#REF!="ZERO",0))))),"")</f>
        <v>#REF!</v>
      </c>
      <c r="H1051" s="139" t="str">
        <f t="shared" si="49"/>
        <v/>
      </c>
      <c r="I1051" s="137" t="str">
        <f t="shared" si="50"/>
        <v/>
      </c>
    </row>
    <row r="1052" spans="1:9" hidden="1" x14ac:dyDescent="0.25">
      <c r="A1052" s="114" t="s">
        <v>3131</v>
      </c>
      <c r="B1052" s="115" t="s">
        <v>3132</v>
      </c>
      <c r="C1052" s="116" t="s">
        <v>632</v>
      </c>
      <c r="D1052" s="116">
        <v>0</v>
      </c>
      <c r="E1052" s="136" t="s">
        <v>572</v>
      </c>
      <c r="F1052" s="137" t="str">
        <f t="shared" si="48"/>
        <v/>
      </c>
      <c r="G1052" s="138" t="e">
        <f>IF(A1052&lt;&gt;"",IF(AND(#REF!="Padrão",$H$4=#REF!),BDI!$B$17,IF(AND(#REF!="Padrão",$H$4=#REF!),BDI!#REF!,IF(AND(#REF!="Diferenciado",$H$4=#REF!),BDI!$E$17,IF(AND(#REF!="Diferenciado",$H$4=#REF!),BDI!#REF!,IF(#REF!="ZERO",0))))),"")</f>
        <v>#REF!</v>
      </c>
      <c r="H1052" s="139" t="str">
        <f t="shared" si="49"/>
        <v/>
      </c>
      <c r="I1052" s="137" t="str">
        <f t="shared" si="50"/>
        <v/>
      </c>
    </row>
    <row r="1053" spans="1:9" hidden="1" x14ac:dyDescent="0.25">
      <c r="A1053" s="114" t="s">
        <v>3133</v>
      </c>
      <c r="B1053" s="115" t="s">
        <v>3134</v>
      </c>
      <c r="C1053" s="116" t="s">
        <v>632</v>
      </c>
      <c r="D1053" s="116">
        <v>0</v>
      </c>
      <c r="E1053" s="136" t="s">
        <v>572</v>
      </c>
      <c r="F1053" s="137" t="str">
        <f t="shared" si="48"/>
        <v/>
      </c>
      <c r="G1053" s="138" t="e">
        <f>IF(A1053&lt;&gt;"",IF(AND(#REF!="Padrão",$H$4=#REF!),BDI!$B$17,IF(AND(#REF!="Padrão",$H$4=#REF!),BDI!#REF!,IF(AND(#REF!="Diferenciado",$H$4=#REF!),BDI!$E$17,IF(AND(#REF!="Diferenciado",$H$4=#REF!),BDI!#REF!,IF(#REF!="ZERO",0))))),"")</f>
        <v>#REF!</v>
      </c>
      <c r="H1053" s="139" t="str">
        <f t="shared" si="49"/>
        <v/>
      </c>
      <c r="I1053" s="137" t="str">
        <f t="shared" si="50"/>
        <v/>
      </c>
    </row>
    <row r="1054" spans="1:9" hidden="1" x14ac:dyDescent="0.25">
      <c r="A1054" s="114" t="s">
        <v>3135</v>
      </c>
      <c r="B1054" s="115" t="s">
        <v>3136</v>
      </c>
      <c r="C1054" s="116" t="s">
        <v>2828</v>
      </c>
      <c r="D1054" s="116">
        <v>0</v>
      </c>
      <c r="E1054" s="136" t="s">
        <v>572</v>
      </c>
      <c r="F1054" s="137" t="str">
        <f t="shared" si="48"/>
        <v/>
      </c>
      <c r="G1054" s="138" t="e">
        <f>IF(A1054&lt;&gt;"",IF(AND(#REF!="Padrão",$H$4=#REF!),BDI!$B$17,IF(AND(#REF!="Padrão",$H$4=#REF!),BDI!#REF!,IF(AND(#REF!="Diferenciado",$H$4=#REF!),BDI!$E$17,IF(AND(#REF!="Diferenciado",$H$4=#REF!),BDI!#REF!,IF(#REF!="ZERO",0))))),"")</f>
        <v>#REF!</v>
      </c>
      <c r="H1054" s="139" t="str">
        <f t="shared" si="49"/>
        <v/>
      </c>
      <c r="I1054" s="137" t="str">
        <f t="shared" si="50"/>
        <v/>
      </c>
    </row>
    <row r="1055" spans="1:9" hidden="1" x14ac:dyDescent="0.25">
      <c r="A1055" s="114" t="s">
        <v>3137</v>
      </c>
      <c r="B1055" s="115" t="s">
        <v>3138</v>
      </c>
      <c r="C1055" s="116" t="s">
        <v>2828</v>
      </c>
      <c r="D1055" s="116">
        <v>0</v>
      </c>
      <c r="E1055" s="136" t="s">
        <v>572</v>
      </c>
      <c r="F1055" s="137" t="str">
        <f t="shared" si="48"/>
        <v/>
      </c>
      <c r="G1055" s="138" t="e">
        <f>IF(A1055&lt;&gt;"",IF(AND(#REF!="Padrão",$H$4=#REF!),BDI!$B$17,IF(AND(#REF!="Padrão",$H$4=#REF!),BDI!#REF!,IF(AND(#REF!="Diferenciado",$H$4=#REF!),BDI!$E$17,IF(AND(#REF!="Diferenciado",$H$4=#REF!),BDI!#REF!,IF(#REF!="ZERO",0))))),"")</f>
        <v>#REF!</v>
      </c>
      <c r="H1055" s="139" t="str">
        <f t="shared" si="49"/>
        <v/>
      </c>
      <c r="I1055" s="137" t="str">
        <f t="shared" si="50"/>
        <v/>
      </c>
    </row>
    <row r="1056" spans="1:9" hidden="1" x14ac:dyDescent="0.25">
      <c r="A1056" s="114" t="s">
        <v>3139</v>
      </c>
      <c r="B1056" s="115" t="s">
        <v>3140</v>
      </c>
      <c r="C1056" s="116" t="s">
        <v>2828</v>
      </c>
      <c r="D1056" s="116">
        <v>0</v>
      </c>
      <c r="E1056" s="136" t="s">
        <v>572</v>
      </c>
      <c r="F1056" s="137" t="str">
        <f t="shared" si="48"/>
        <v/>
      </c>
      <c r="G1056" s="138" t="e">
        <f>IF(A1056&lt;&gt;"",IF(AND(#REF!="Padrão",$H$4=#REF!),BDI!$B$17,IF(AND(#REF!="Padrão",$H$4=#REF!),BDI!#REF!,IF(AND(#REF!="Diferenciado",$H$4=#REF!),BDI!$E$17,IF(AND(#REF!="Diferenciado",$H$4=#REF!),BDI!#REF!,IF(#REF!="ZERO",0))))),"")</f>
        <v>#REF!</v>
      </c>
      <c r="H1056" s="139" t="str">
        <f t="shared" si="49"/>
        <v/>
      </c>
      <c r="I1056" s="137" t="str">
        <f t="shared" si="50"/>
        <v/>
      </c>
    </row>
    <row r="1057" spans="1:9" hidden="1" x14ac:dyDescent="0.25">
      <c r="A1057" s="114" t="s">
        <v>3141</v>
      </c>
      <c r="B1057" s="115" t="s">
        <v>3142</v>
      </c>
      <c r="C1057" s="116" t="s">
        <v>2066</v>
      </c>
      <c r="D1057" s="116">
        <v>0</v>
      </c>
      <c r="E1057" s="136" t="s">
        <v>572</v>
      </c>
      <c r="F1057" s="137" t="str">
        <f t="shared" si="48"/>
        <v/>
      </c>
      <c r="G1057" s="138" t="e">
        <f>IF(A1057&lt;&gt;"",IF(AND(#REF!="Padrão",$H$4=#REF!),BDI!$B$17,IF(AND(#REF!="Padrão",$H$4=#REF!),BDI!#REF!,IF(AND(#REF!="Diferenciado",$H$4=#REF!),BDI!$E$17,IF(AND(#REF!="Diferenciado",$H$4=#REF!),BDI!#REF!,IF(#REF!="ZERO",0))))),"")</f>
        <v>#REF!</v>
      </c>
      <c r="H1057" s="139" t="str">
        <f t="shared" si="49"/>
        <v/>
      </c>
      <c r="I1057" s="137" t="str">
        <f t="shared" si="50"/>
        <v/>
      </c>
    </row>
    <row r="1058" spans="1:9" hidden="1" x14ac:dyDescent="0.25">
      <c r="A1058" s="114" t="s">
        <v>1190</v>
      </c>
      <c r="B1058" s="115" t="s">
        <v>3143</v>
      </c>
      <c r="C1058" s="116" t="s">
        <v>96</v>
      </c>
      <c r="D1058" s="116">
        <v>0</v>
      </c>
      <c r="E1058" s="136">
        <f ca="1">OFFSET(INDEX(Composições!A:J,MATCH(Orçamentária!A1058,Composições!A:A,0),8),2,0)</f>
        <v>0.18420500000000001</v>
      </c>
      <c r="F1058" s="137">
        <f t="shared" ca="1" si="48"/>
        <v>0</v>
      </c>
      <c r="G1058" s="138" t="e">
        <f>IF(A1058&lt;&gt;"",IF(AND(#REF!="Padrão",$H$4=#REF!),BDI!$B$17,IF(AND(#REF!="Padrão",$H$4=#REF!),BDI!#REF!,IF(AND(#REF!="Diferenciado",$H$4=#REF!),BDI!$E$17,IF(AND(#REF!="Diferenciado",$H$4=#REF!),BDI!#REF!,IF(#REF!="ZERO",0))))),"")</f>
        <v>#REF!</v>
      </c>
      <c r="H1058" s="139" t="e">
        <f t="shared" ca="1" si="49"/>
        <v>#REF!</v>
      </c>
      <c r="I1058" s="137" t="e">
        <f t="shared" ca="1" si="50"/>
        <v>#REF!</v>
      </c>
    </row>
    <row r="1059" spans="1:9" hidden="1" x14ac:dyDescent="0.25">
      <c r="A1059" s="114" t="s">
        <v>1192</v>
      </c>
      <c r="B1059" s="115" t="s">
        <v>3144</v>
      </c>
      <c r="C1059" s="116" t="s">
        <v>96</v>
      </c>
      <c r="D1059" s="116">
        <v>0</v>
      </c>
      <c r="E1059" s="136">
        <f ca="1">OFFSET(INDEX(Composições!A:J,MATCH(Orçamentária!A1059,Composições!A:A,0),8),2,0)</f>
        <v>30.0528692324798</v>
      </c>
      <c r="F1059" s="137">
        <f t="shared" ca="1" si="48"/>
        <v>0</v>
      </c>
      <c r="G1059" s="138" t="e">
        <f>IF(A1059&lt;&gt;"",IF(AND(#REF!="Padrão",$H$4=#REF!),BDI!$B$17,IF(AND(#REF!="Padrão",$H$4=#REF!),BDI!#REF!,IF(AND(#REF!="Diferenciado",$H$4=#REF!),BDI!$E$17,IF(AND(#REF!="Diferenciado",$H$4=#REF!),BDI!#REF!,IF(#REF!="ZERO",0))))),"")</f>
        <v>#REF!</v>
      </c>
      <c r="H1059" s="139" t="e">
        <f t="shared" ca="1" si="49"/>
        <v>#REF!</v>
      </c>
      <c r="I1059" s="137" t="e">
        <f t="shared" ca="1" si="50"/>
        <v>#REF!</v>
      </c>
    </row>
    <row r="1060" spans="1:9" ht="25.5" hidden="1" x14ac:dyDescent="0.25">
      <c r="A1060" s="114" t="s">
        <v>3145</v>
      </c>
      <c r="B1060" s="115" t="s">
        <v>3146</v>
      </c>
      <c r="C1060" s="116" t="s">
        <v>20</v>
      </c>
      <c r="D1060" s="116">
        <v>0</v>
      </c>
      <c r="E1060" s="136" t="s">
        <v>572</v>
      </c>
      <c r="F1060" s="137" t="str">
        <f t="shared" si="48"/>
        <v/>
      </c>
      <c r="G1060" s="138" t="e">
        <f>IF(A1060&lt;&gt;"",IF(AND(#REF!="Padrão",$H$4=#REF!),BDI!$B$17,IF(AND(#REF!="Padrão",$H$4=#REF!),BDI!#REF!,IF(AND(#REF!="Diferenciado",$H$4=#REF!),BDI!$E$17,IF(AND(#REF!="Diferenciado",$H$4=#REF!),BDI!#REF!,IF(#REF!="ZERO",0))))),"")</f>
        <v>#REF!</v>
      </c>
      <c r="H1060" s="139" t="str">
        <f t="shared" si="49"/>
        <v/>
      </c>
      <c r="I1060" s="137" t="str">
        <f t="shared" si="50"/>
        <v/>
      </c>
    </row>
    <row r="1061" spans="1:9" ht="25.5" hidden="1" x14ac:dyDescent="0.25">
      <c r="A1061" s="114" t="s">
        <v>3147</v>
      </c>
      <c r="B1061" s="115" t="s">
        <v>3148</v>
      </c>
      <c r="C1061" s="116" t="s">
        <v>20</v>
      </c>
      <c r="D1061" s="116">
        <v>0</v>
      </c>
      <c r="E1061" s="136" t="s">
        <v>572</v>
      </c>
      <c r="F1061" s="137" t="str">
        <f t="shared" si="48"/>
        <v/>
      </c>
      <c r="G1061" s="138" t="e">
        <f>IF(A1061&lt;&gt;"",IF(AND(#REF!="Padrão",$H$4=#REF!),BDI!$B$17,IF(AND(#REF!="Padrão",$H$4=#REF!),BDI!#REF!,IF(AND(#REF!="Diferenciado",$H$4=#REF!),BDI!$E$17,IF(AND(#REF!="Diferenciado",$H$4=#REF!),BDI!#REF!,IF(#REF!="ZERO",0))))),"")</f>
        <v>#REF!</v>
      </c>
      <c r="H1061" s="139" t="str">
        <f t="shared" si="49"/>
        <v/>
      </c>
      <c r="I1061" s="137" t="str">
        <f t="shared" si="50"/>
        <v/>
      </c>
    </row>
    <row r="1062" spans="1:9" hidden="1" x14ac:dyDescent="0.25">
      <c r="A1062" s="114" t="s">
        <v>3149</v>
      </c>
      <c r="B1062" s="115" t="s">
        <v>3150</v>
      </c>
      <c r="C1062" s="116" t="s">
        <v>42</v>
      </c>
      <c r="D1062" s="116">
        <v>0</v>
      </c>
      <c r="E1062" s="136" t="s">
        <v>572</v>
      </c>
      <c r="F1062" s="137" t="str">
        <f t="shared" si="48"/>
        <v/>
      </c>
      <c r="G1062" s="138" t="e">
        <f>IF(A1062&lt;&gt;"",IF(AND(#REF!="Padrão",$H$4=#REF!),BDI!$B$17,IF(AND(#REF!="Padrão",$H$4=#REF!),BDI!#REF!,IF(AND(#REF!="Diferenciado",$H$4=#REF!),BDI!$E$17,IF(AND(#REF!="Diferenciado",$H$4=#REF!),BDI!#REF!,IF(#REF!="ZERO",0))))),"")</f>
        <v>#REF!</v>
      </c>
      <c r="H1062" s="139" t="str">
        <f t="shared" si="49"/>
        <v/>
      </c>
      <c r="I1062" s="137" t="str">
        <f t="shared" si="50"/>
        <v/>
      </c>
    </row>
    <row r="1063" spans="1:9" hidden="1" x14ac:dyDescent="0.25">
      <c r="A1063" s="114" t="s">
        <v>3151</v>
      </c>
      <c r="B1063" s="115" t="s">
        <v>3152</v>
      </c>
      <c r="C1063" s="116" t="s">
        <v>20</v>
      </c>
      <c r="D1063" s="116">
        <v>0</v>
      </c>
      <c r="E1063" s="136" t="s">
        <v>572</v>
      </c>
      <c r="F1063" s="137" t="str">
        <f t="shared" si="48"/>
        <v/>
      </c>
      <c r="G1063" s="138" t="e">
        <f>IF(A1063&lt;&gt;"",IF(AND(#REF!="Padrão",$H$4=#REF!),BDI!$B$17,IF(AND(#REF!="Padrão",$H$4=#REF!),BDI!#REF!,IF(AND(#REF!="Diferenciado",$H$4=#REF!),BDI!$E$17,IF(AND(#REF!="Diferenciado",$H$4=#REF!),BDI!#REF!,IF(#REF!="ZERO",0))))),"")</f>
        <v>#REF!</v>
      </c>
      <c r="H1063" s="139" t="str">
        <f t="shared" si="49"/>
        <v/>
      </c>
      <c r="I1063" s="137" t="str">
        <f t="shared" si="50"/>
        <v/>
      </c>
    </row>
    <row r="1064" spans="1:9" hidden="1" x14ac:dyDescent="0.25">
      <c r="A1064" s="114" t="s">
        <v>1196</v>
      </c>
      <c r="B1064" s="115" t="s">
        <v>3153</v>
      </c>
      <c r="C1064" s="116" t="s">
        <v>96</v>
      </c>
      <c r="D1064" s="116">
        <v>0</v>
      </c>
      <c r="E1064" s="136">
        <f ca="1">OFFSET(INDEX(Composições!A:J,MATCH(Orçamentária!A1064,Composições!A:A,0),8),2,0)</f>
        <v>116.27835554999999</v>
      </c>
      <c r="F1064" s="137">
        <f t="shared" ca="1" si="48"/>
        <v>0</v>
      </c>
      <c r="G1064" s="138" t="e">
        <f>IF(A1064&lt;&gt;"",IF(AND(#REF!="Padrão",$H$4=#REF!),BDI!$B$17,IF(AND(#REF!="Padrão",$H$4=#REF!),BDI!#REF!,IF(AND(#REF!="Diferenciado",$H$4=#REF!),BDI!$E$17,IF(AND(#REF!="Diferenciado",$H$4=#REF!),BDI!#REF!,IF(#REF!="ZERO",0))))),"")</f>
        <v>#REF!</v>
      </c>
      <c r="H1064" s="139" t="e">
        <f t="shared" ca="1" si="49"/>
        <v>#REF!</v>
      </c>
      <c r="I1064" s="137" t="e">
        <f t="shared" ca="1" si="50"/>
        <v>#REF!</v>
      </c>
    </row>
    <row r="1065" spans="1:9" hidden="1" x14ac:dyDescent="0.25">
      <c r="A1065" s="114" t="s">
        <v>1198</v>
      </c>
      <c r="B1065" s="115" t="s">
        <v>3154</v>
      </c>
      <c r="C1065" s="116" t="s">
        <v>96</v>
      </c>
      <c r="D1065" s="116">
        <v>0</v>
      </c>
      <c r="E1065" s="136">
        <f ca="1">OFFSET(INDEX(Composições!A:J,MATCH(Orçamentária!A1065,Composições!A:A,0),8),2,0)</f>
        <v>473.70044274999992</v>
      </c>
      <c r="F1065" s="137">
        <f t="shared" ca="1" si="48"/>
        <v>0</v>
      </c>
      <c r="G1065" s="138" t="e">
        <f>IF(A1065&lt;&gt;"",IF(AND(#REF!="Padrão",$H$4=#REF!),BDI!$B$17,IF(AND(#REF!="Padrão",$H$4=#REF!),BDI!#REF!,IF(AND(#REF!="Diferenciado",$H$4=#REF!),BDI!$E$17,IF(AND(#REF!="Diferenciado",$H$4=#REF!),BDI!#REF!,IF(#REF!="ZERO",0))))),"")</f>
        <v>#REF!</v>
      </c>
      <c r="H1065" s="139" t="e">
        <f t="shared" ca="1" si="49"/>
        <v>#REF!</v>
      </c>
      <c r="I1065" s="137" t="e">
        <f t="shared" ca="1" si="50"/>
        <v>#REF!</v>
      </c>
    </row>
    <row r="1066" spans="1:9" hidden="1" x14ac:dyDescent="0.25">
      <c r="A1066" s="114" t="s">
        <v>1203</v>
      </c>
      <c r="B1066" s="115" t="s">
        <v>3155</v>
      </c>
      <c r="C1066" s="116" t="s">
        <v>96</v>
      </c>
      <c r="D1066" s="116">
        <v>0</v>
      </c>
      <c r="E1066" s="136">
        <f ca="1">OFFSET(INDEX(Composições!A:J,MATCH(Orçamentária!A1066,Composições!A:A,0),8),2,0)</f>
        <v>76.786545849999996</v>
      </c>
      <c r="F1066" s="137">
        <f t="shared" ca="1" si="48"/>
        <v>0</v>
      </c>
      <c r="G1066" s="138" t="e">
        <f>IF(A1066&lt;&gt;"",IF(AND(#REF!="Padrão",$H$4=#REF!),BDI!$B$17,IF(AND(#REF!="Padrão",$H$4=#REF!),BDI!#REF!,IF(AND(#REF!="Diferenciado",$H$4=#REF!),BDI!$E$17,IF(AND(#REF!="Diferenciado",$H$4=#REF!),BDI!#REF!,IF(#REF!="ZERO",0))))),"")</f>
        <v>#REF!</v>
      </c>
      <c r="H1066" s="139" t="e">
        <f t="shared" ca="1" si="49"/>
        <v>#REF!</v>
      </c>
      <c r="I1066" s="137" t="e">
        <f t="shared" ca="1" si="50"/>
        <v>#REF!</v>
      </c>
    </row>
    <row r="1067" spans="1:9" hidden="1" x14ac:dyDescent="0.25">
      <c r="A1067" s="114" t="s">
        <v>1206</v>
      </c>
      <c r="B1067" s="115" t="s">
        <v>3156</v>
      </c>
      <c r="C1067" s="116" t="s">
        <v>96</v>
      </c>
      <c r="D1067" s="116">
        <v>0</v>
      </c>
      <c r="E1067" s="136">
        <f ca="1">OFFSET(INDEX(Composições!A:J,MATCH(Orçamentária!A1067,Composições!A:A,0),8),2,0)</f>
        <v>389.99683247914999</v>
      </c>
      <c r="F1067" s="137">
        <f t="shared" ca="1" si="48"/>
        <v>0</v>
      </c>
      <c r="G1067" s="138" t="e">
        <f>IF(A1067&lt;&gt;"",IF(AND(#REF!="Padrão",$H$4=#REF!),BDI!$B$17,IF(AND(#REF!="Padrão",$H$4=#REF!),BDI!#REF!,IF(AND(#REF!="Diferenciado",$H$4=#REF!),BDI!$E$17,IF(AND(#REF!="Diferenciado",$H$4=#REF!),BDI!#REF!,IF(#REF!="ZERO",0))))),"")</f>
        <v>#REF!</v>
      </c>
      <c r="H1067" s="139" t="e">
        <f t="shared" ca="1" si="49"/>
        <v>#REF!</v>
      </c>
      <c r="I1067" s="137" t="e">
        <f t="shared" ca="1" si="50"/>
        <v>#REF!</v>
      </c>
    </row>
    <row r="1068" spans="1:9" hidden="1" x14ac:dyDescent="0.25">
      <c r="A1068" s="114" t="s">
        <v>1208</v>
      </c>
      <c r="B1068" s="115" t="s">
        <v>3157</v>
      </c>
      <c r="C1068" s="116" t="s">
        <v>20</v>
      </c>
      <c r="D1068" s="116">
        <v>0</v>
      </c>
      <c r="E1068" s="136">
        <f ca="1">OFFSET(INDEX(Composições!A:J,MATCH(Orçamentária!A1068,Composições!A:A,0),8),2,0)</f>
        <v>555.61619250000001</v>
      </c>
      <c r="F1068" s="137">
        <f t="shared" ca="1" si="48"/>
        <v>0</v>
      </c>
      <c r="G1068" s="138" t="e">
        <f>IF(A1068&lt;&gt;"",IF(AND(#REF!="Padrão",$H$4=#REF!),BDI!$B$17,IF(AND(#REF!="Padrão",$H$4=#REF!),BDI!#REF!,IF(AND(#REF!="Diferenciado",$H$4=#REF!),BDI!$E$17,IF(AND(#REF!="Diferenciado",$H$4=#REF!),BDI!#REF!,IF(#REF!="ZERO",0))))),"")</f>
        <v>#REF!</v>
      </c>
      <c r="H1068" s="139" t="e">
        <f t="shared" ca="1" si="49"/>
        <v>#REF!</v>
      </c>
      <c r="I1068" s="137" t="e">
        <f t="shared" ca="1" si="50"/>
        <v>#REF!</v>
      </c>
    </row>
    <row r="1069" spans="1:9" hidden="1" x14ac:dyDescent="0.25">
      <c r="A1069" s="114" t="s">
        <v>1218</v>
      </c>
      <c r="B1069" s="115" t="s">
        <v>3158</v>
      </c>
      <c r="C1069" s="116" t="s">
        <v>20</v>
      </c>
      <c r="D1069" s="116">
        <v>0</v>
      </c>
      <c r="E1069" s="136">
        <f ca="1">OFFSET(INDEX(Composições!A:J,MATCH(Orçamentária!A1069,Composições!A:A,0),8),2,0)</f>
        <v>7.8801930000000002</v>
      </c>
      <c r="F1069" s="137">
        <f t="shared" ca="1" si="48"/>
        <v>0</v>
      </c>
      <c r="G1069" s="138" t="e">
        <f>IF(A1069&lt;&gt;"",IF(AND(#REF!="Padrão",$H$4=#REF!),BDI!$B$17,IF(AND(#REF!="Padrão",$H$4=#REF!),BDI!#REF!,IF(AND(#REF!="Diferenciado",$H$4=#REF!),BDI!$E$17,IF(AND(#REF!="Diferenciado",$H$4=#REF!),BDI!#REF!,IF(#REF!="ZERO",0))))),"")</f>
        <v>#REF!</v>
      </c>
      <c r="H1069" s="139" t="e">
        <f t="shared" ca="1" si="49"/>
        <v>#REF!</v>
      </c>
      <c r="I1069" s="137" t="e">
        <f t="shared" ca="1" si="50"/>
        <v>#REF!</v>
      </c>
    </row>
    <row r="1070" spans="1:9" hidden="1" x14ac:dyDescent="0.25">
      <c r="A1070" s="114" t="s">
        <v>1220</v>
      </c>
      <c r="B1070" s="115" t="s">
        <v>3159</v>
      </c>
      <c r="C1070" s="116" t="s">
        <v>112</v>
      </c>
      <c r="D1070" s="116">
        <v>0</v>
      </c>
      <c r="E1070" s="136">
        <f ca="1">OFFSET(INDEX(Composições!A:J,MATCH(Orçamentária!A1070,Composições!A:A,0),8),2,0)</f>
        <v>2846.2037836488848</v>
      </c>
      <c r="F1070" s="137">
        <f t="shared" ca="1" si="48"/>
        <v>0</v>
      </c>
      <c r="G1070" s="138" t="e">
        <f>IF(A1070&lt;&gt;"",IF(AND(#REF!="Padrão",$H$4=#REF!),BDI!$B$17,IF(AND(#REF!="Padrão",$H$4=#REF!),BDI!#REF!,IF(AND(#REF!="Diferenciado",$H$4=#REF!),BDI!$E$17,IF(AND(#REF!="Diferenciado",$H$4=#REF!),BDI!#REF!,IF(#REF!="ZERO",0))))),"")</f>
        <v>#REF!</v>
      </c>
      <c r="H1070" s="139" t="e">
        <f t="shared" ca="1" si="49"/>
        <v>#REF!</v>
      </c>
      <c r="I1070" s="137" t="e">
        <f t="shared" ca="1" si="50"/>
        <v>#REF!</v>
      </c>
    </row>
    <row r="1071" spans="1:9" hidden="1" x14ac:dyDescent="0.25">
      <c r="A1071" s="114" t="s">
        <v>1230</v>
      </c>
      <c r="B1071" s="115" t="s">
        <v>3160</v>
      </c>
      <c r="C1071" s="116" t="s">
        <v>94</v>
      </c>
      <c r="D1071" s="116">
        <v>0</v>
      </c>
      <c r="E1071" s="136">
        <f ca="1">OFFSET(INDEX(Composições!A:J,MATCH(Orçamentária!A1071,Composições!A:A,0),8),2,0)</f>
        <v>16.399964000000001</v>
      </c>
      <c r="F1071" s="137">
        <f t="shared" ca="1" si="48"/>
        <v>0</v>
      </c>
      <c r="G1071" s="138" t="e">
        <f>IF(A1071&lt;&gt;"",IF(AND(#REF!="Padrão",$H$4=#REF!),BDI!$B$17,IF(AND(#REF!="Padrão",$H$4=#REF!),BDI!#REF!,IF(AND(#REF!="Diferenciado",$H$4=#REF!),BDI!$E$17,IF(AND(#REF!="Diferenciado",$H$4=#REF!),BDI!#REF!,IF(#REF!="ZERO",0))))),"")</f>
        <v>#REF!</v>
      </c>
      <c r="H1071" s="139" t="e">
        <f t="shared" ca="1" si="49"/>
        <v>#REF!</v>
      </c>
      <c r="I1071" s="137" t="e">
        <f t="shared" ca="1" si="50"/>
        <v>#REF!</v>
      </c>
    </row>
    <row r="1072" spans="1:9" hidden="1" x14ac:dyDescent="0.25">
      <c r="A1072" s="114" t="s">
        <v>3161</v>
      </c>
      <c r="B1072" s="115" t="s">
        <v>3162</v>
      </c>
      <c r="C1072" s="116" t="s">
        <v>20</v>
      </c>
      <c r="D1072" s="116">
        <v>0</v>
      </c>
      <c r="E1072" s="136" t="s">
        <v>572</v>
      </c>
      <c r="F1072" s="137" t="str">
        <f t="shared" si="48"/>
        <v/>
      </c>
      <c r="G1072" s="138" t="e">
        <f>IF(A1072&lt;&gt;"",IF(AND(#REF!="Padrão",$H$4=#REF!),BDI!$B$17,IF(AND(#REF!="Padrão",$H$4=#REF!),BDI!#REF!,IF(AND(#REF!="Diferenciado",$H$4=#REF!),BDI!$E$17,IF(AND(#REF!="Diferenciado",$H$4=#REF!),BDI!#REF!,IF(#REF!="ZERO",0))))),"")</f>
        <v>#REF!</v>
      </c>
      <c r="H1072" s="139" t="str">
        <f t="shared" si="49"/>
        <v/>
      </c>
      <c r="I1072" s="137" t="str">
        <f t="shared" si="50"/>
        <v/>
      </c>
    </row>
    <row r="1073" spans="1:9" hidden="1" x14ac:dyDescent="0.25">
      <c r="A1073" s="114" t="s">
        <v>1234</v>
      </c>
      <c r="B1073" s="115" t="s">
        <v>3163</v>
      </c>
      <c r="C1073" s="116" t="s">
        <v>94</v>
      </c>
      <c r="D1073" s="116">
        <v>0</v>
      </c>
      <c r="E1073" s="136">
        <f ca="1">OFFSET(INDEX(Composições!A:J,MATCH(Orçamentária!A1073,Composições!A:A,0),8),2,0)</f>
        <v>39.634</v>
      </c>
      <c r="F1073" s="137">
        <f t="shared" ca="1" si="48"/>
        <v>0</v>
      </c>
      <c r="G1073" s="138" t="e">
        <f>IF(A1073&lt;&gt;"",IF(AND(#REF!="Padrão",$H$4=#REF!),BDI!$B$17,IF(AND(#REF!="Padrão",$H$4=#REF!),BDI!#REF!,IF(AND(#REF!="Diferenciado",$H$4=#REF!),BDI!$E$17,IF(AND(#REF!="Diferenciado",$H$4=#REF!),BDI!#REF!,IF(#REF!="ZERO",0))))),"")</f>
        <v>#REF!</v>
      </c>
      <c r="H1073" s="139" t="e">
        <f t="shared" ca="1" si="49"/>
        <v>#REF!</v>
      </c>
      <c r="I1073" s="137" t="e">
        <f t="shared" ca="1" si="50"/>
        <v>#REF!</v>
      </c>
    </row>
    <row r="1074" spans="1:9" hidden="1" x14ac:dyDescent="0.25">
      <c r="A1074" s="114" t="s">
        <v>1236</v>
      </c>
      <c r="B1074" s="115" t="s">
        <v>3164</v>
      </c>
      <c r="C1074" s="116" t="s">
        <v>94</v>
      </c>
      <c r="D1074" s="116">
        <v>0</v>
      </c>
      <c r="E1074" s="136">
        <f ca="1">OFFSET(INDEX(Composições!A:J,MATCH(Orçamentária!A1074,Composições!A:A,0),8),2,0)</f>
        <v>25.727330000000002</v>
      </c>
      <c r="F1074" s="137">
        <f t="shared" ca="1" si="48"/>
        <v>0</v>
      </c>
      <c r="G1074" s="138" t="e">
        <f>IF(A1074&lt;&gt;"",IF(AND(#REF!="Padrão",$H$4=#REF!),BDI!$B$17,IF(AND(#REF!="Padrão",$H$4=#REF!),BDI!#REF!,IF(AND(#REF!="Diferenciado",$H$4=#REF!),BDI!$E$17,IF(AND(#REF!="Diferenciado",$H$4=#REF!),BDI!#REF!,IF(#REF!="ZERO",0))))),"")</f>
        <v>#REF!</v>
      </c>
      <c r="H1074" s="139" t="e">
        <f t="shared" ca="1" si="49"/>
        <v>#REF!</v>
      </c>
      <c r="I1074" s="137" t="e">
        <f t="shared" ca="1" si="50"/>
        <v>#REF!</v>
      </c>
    </row>
    <row r="1075" spans="1:9" hidden="1" x14ac:dyDescent="0.25">
      <c r="A1075" s="114" t="s">
        <v>1238</v>
      </c>
      <c r="B1075" s="115" t="s">
        <v>3165</v>
      </c>
      <c r="C1075" s="116" t="s">
        <v>96</v>
      </c>
      <c r="D1075" s="116">
        <v>0</v>
      </c>
      <c r="E1075" s="136">
        <f ca="1">OFFSET(INDEX(Composições!A:J,MATCH(Orçamentária!A1075,Composições!A:A,0),8),2,0)</f>
        <v>108.13556735000002</v>
      </c>
      <c r="F1075" s="137">
        <f t="shared" ca="1" si="48"/>
        <v>0</v>
      </c>
      <c r="G1075" s="138" t="e">
        <f>IF(A1075&lt;&gt;"",IF(AND(#REF!="Padrão",$H$4=#REF!),BDI!$B$17,IF(AND(#REF!="Padrão",$H$4=#REF!),BDI!#REF!,IF(AND(#REF!="Diferenciado",$H$4=#REF!),BDI!$E$17,IF(AND(#REF!="Diferenciado",$H$4=#REF!),BDI!#REF!,IF(#REF!="ZERO",0))))),"")</f>
        <v>#REF!</v>
      </c>
      <c r="H1075" s="139" t="e">
        <f t="shared" ca="1" si="49"/>
        <v>#REF!</v>
      </c>
      <c r="I1075" s="137" t="e">
        <f t="shared" ca="1" si="50"/>
        <v>#REF!</v>
      </c>
    </row>
    <row r="1076" spans="1:9" hidden="1" x14ac:dyDescent="0.25">
      <c r="A1076" s="114" t="s">
        <v>1240</v>
      </c>
      <c r="B1076" s="115" t="s">
        <v>3166</v>
      </c>
      <c r="C1076" s="116" t="s">
        <v>20</v>
      </c>
      <c r="D1076" s="116">
        <v>0</v>
      </c>
      <c r="E1076" s="136">
        <f ca="1">OFFSET(INDEX(Composições!A:J,MATCH(Orçamentária!A1076,Composições!A:A,0),8),2,0)</f>
        <v>10.477534800000001</v>
      </c>
      <c r="F1076" s="137">
        <f t="shared" ca="1" si="48"/>
        <v>0</v>
      </c>
      <c r="G1076" s="138" t="e">
        <f>IF(A1076&lt;&gt;"",IF(AND(#REF!="Padrão",$H$4=#REF!),BDI!$B$17,IF(AND(#REF!="Padrão",$H$4=#REF!),BDI!#REF!,IF(AND(#REF!="Diferenciado",$H$4=#REF!),BDI!$E$17,IF(AND(#REF!="Diferenciado",$H$4=#REF!),BDI!#REF!,IF(#REF!="ZERO",0))))),"")</f>
        <v>#REF!</v>
      </c>
      <c r="H1076" s="139" t="e">
        <f t="shared" ca="1" si="49"/>
        <v>#REF!</v>
      </c>
      <c r="I1076" s="137" t="e">
        <f t="shared" ca="1" si="50"/>
        <v>#REF!</v>
      </c>
    </row>
    <row r="1077" spans="1:9" hidden="1" x14ac:dyDescent="0.25">
      <c r="A1077" s="114" t="s">
        <v>1242</v>
      </c>
      <c r="B1077" s="115" t="s">
        <v>3167</v>
      </c>
      <c r="C1077" s="116" t="s">
        <v>96</v>
      </c>
      <c r="D1077" s="116">
        <v>0</v>
      </c>
      <c r="E1077" s="136">
        <f ca="1">OFFSET(INDEX(Composições!A:J,MATCH(Orçamentária!A1077,Composições!A:A,0),8),2,0)</f>
        <v>28.499524999999998</v>
      </c>
      <c r="F1077" s="137">
        <f t="shared" ca="1" si="48"/>
        <v>0</v>
      </c>
      <c r="G1077" s="138" t="e">
        <f>IF(A1077&lt;&gt;"",IF(AND(#REF!="Padrão",$H$4=#REF!),BDI!$B$17,IF(AND(#REF!="Padrão",$H$4=#REF!),BDI!#REF!,IF(AND(#REF!="Diferenciado",$H$4=#REF!),BDI!$E$17,IF(AND(#REF!="Diferenciado",$H$4=#REF!),BDI!#REF!,IF(#REF!="ZERO",0))))),"")</f>
        <v>#REF!</v>
      </c>
      <c r="H1077" s="139" t="e">
        <f t="shared" ca="1" si="49"/>
        <v>#REF!</v>
      </c>
      <c r="I1077" s="137" t="e">
        <f t="shared" ca="1" si="50"/>
        <v>#REF!</v>
      </c>
    </row>
    <row r="1078" spans="1:9" hidden="1" x14ac:dyDescent="0.25">
      <c r="A1078" s="114" t="s">
        <v>1244</v>
      </c>
      <c r="B1078" s="115" t="s">
        <v>3168</v>
      </c>
      <c r="C1078" s="116" t="s">
        <v>96</v>
      </c>
      <c r="D1078" s="116">
        <v>0</v>
      </c>
      <c r="E1078" s="136">
        <f ca="1">OFFSET(INDEX(Composições!A:J,MATCH(Orçamentária!A1078,Composições!A:A,0),8),2,0)</f>
        <v>128.53956739885652</v>
      </c>
      <c r="F1078" s="137">
        <f t="shared" ca="1" si="48"/>
        <v>0</v>
      </c>
      <c r="G1078" s="138" t="e">
        <f>IF(A1078&lt;&gt;"",IF(AND(#REF!="Padrão",$H$4=#REF!),BDI!$B$17,IF(AND(#REF!="Padrão",$H$4=#REF!),BDI!#REF!,IF(AND(#REF!="Diferenciado",$H$4=#REF!),BDI!$E$17,IF(AND(#REF!="Diferenciado",$H$4=#REF!),BDI!#REF!,IF(#REF!="ZERO",0))))),"")</f>
        <v>#REF!</v>
      </c>
      <c r="H1078" s="139" t="e">
        <f t="shared" ca="1" si="49"/>
        <v>#REF!</v>
      </c>
      <c r="I1078" s="137" t="e">
        <f t="shared" ca="1" si="50"/>
        <v>#REF!</v>
      </c>
    </row>
    <row r="1079" spans="1:9" hidden="1" x14ac:dyDescent="0.25">
      <c r="A1079" s="114" t="s">
        <v>1246</v>
      </c>
      <c r="B1079" s="115" t="s">
        <v>3169</v>
      </c>
      <c r="C1079" s="116" t="s">
        <v>20</v>
      </c>
      <c r="D1079" s="116">
        <v>0</v>
      </c>
      <c r="E1079" s="136">
        <f ca="1">OFFSET(INDEX(Composições!A:J,MATCH(Orçamentária!A1079,Composições!A:A,0),8),2,0)</f>
        <v>167.05094688939801</v>
      </c>
      <c r="F1079" s="137">
        <f t="shared" ca="1" si="48"/>
        <v>0</v>
      </c>
      <c r="G1079" s="138" t="e">
        <f>IF(A1079&lt;&gt;"",IF(AND(#REF!="Padrão",$H$4=#REF!),BDI!$B$17,IF(AND(#REF!="Padrão",$H$4=#REF!),BDI!#REF!,IF(AND(#REF!="Diferenciado",$H$4=#REF!),BDI!$E$17,IF(AND(#REF!="Diferenciado",$H$4=#REF!),BDI!#REF!,IF(#REF!="ZERO",0))))),"")</f>
        <v>#REF!</v>
      </c>
      <c r="H1079" s="139" t="e">
        <f t="shared" ca="1" si="49"/>
        <v>#REF!</v>
      </c>
      <c r="I1079" s="137" t="e">
        <f t="shared" ca="1" si="50"/>
        <v>#REF!</v>
      </c>
    </row>
    <row r="1080" spans="1:9" hidden="1" x14ac:dyDescent="0.25">
      <c r="A1080" s="114" t="s">
        <v>3170</v>
      </c>
      <c r="B1080" s="115" t="s">
        <v>3171</v>
      </c>
      <c r="C1080" s="116" t="s">
        <v>20</v>
      </c>
      <c r="D1080" s="116">
        <v>0</v>
      </c>
      <c r="E1080" s="136" t="s">
        <v>572</v>
      </c>
      <c r="F1080" s="137" t="str">
        <f t="shared" si="48"/>
        <v/>
      </c>
      <c r="G1080" s="138" t="e">
        <f>IF(A1080&lt;&gt;"",IF(AND(#REF!="Padrão",$H$4=#REF!),BDI!$B$17,IF(AND(#REF!="Padrão",$H$4=#REF!),BDI!#REF!,IF(AND(#REF!="Diferenciado",$H$4=#REF!),BDI!$E$17,IF(AND(#REF!="Diferenciado",$H$4=#REF!),BDI!#REF!,IF(#REF!="ZERO",0))))),"")</f>
        <v>#REF!</v>
      </c>
      <c r="H1080" s="139" t="str">
        <f t="shared" si="49"/>
        <v/>
      </c>
      <c r="I1080" s="137" t="str">
        <f t="shared" si="50"/>
        <v/>
      </c>
    </row>
    <row r="1081" spans="1:9" hidden="1" x14ac:dyDescent="0.25">
      <c r="A1081" s="114" t="s">
        <v>1248</v>
      </c>
      <c r="B1081" s="115" t="s">
        <v>3172</v>
      </c>
      <c r="C1081" s="116" t="s">
        <v>96</v>
      </c>
      <c r="D1081" s="116">
        <v>0</v>
      </c>
      <c r="E1081" s="136">
        <f ca="1">OFFSET(INDEX(Composições!A:J,MATCH(Orçamentária!A1081,Composições!A:A,0),8),2,0)</f>
        <v>25.792880000000004</v>
      </c>
      <c r="F1081" s="137">
        <f t="shared" ca="1" si="48"/>
        <v>0</v>
      </c>
      <c r="G1081" s="138" t="e">
        <f>IF(A1081&lt;&gt;"",IF(AND(#REF!="Padrão",$H$4=#REF!),BDI!$B$17,IF(AND(#REF!="Padrão",$H$4=#REF!),BDI!#REF!,IF(AND(#REF!="Diferenciado",$H$4=#REF!),BDI!$E$17,IF(AND(#REF!="Diferenciado",$H$4=#REF!),BDI!#REF!,IF(#REF!="ZERO",0))))),"")</f>
        <v>#REF!</v>
      </c>
      <c r="H1081" s="139" t="e">
        <f t="shared" ca="1" si="49"/>
        <v>#REF!</v>
      </c>
      <c r="I1081" s="137" t="e">
        <f t="shared" ca="1" si="50"/>
        <v>#REF!</v>
      </c>
    </row>
    <row r="1082" spans="1:9" hidden="1" x14ac:dyDescent="0.25">
      <c r="A1082" s="114" t="s">
        <v>1250</v>
      </c>
      <c r="B1082" s="115" t="s">
        <v>3173</v>
      </c>
      <c r="C1082" s="116" t="s">
        <v>112</v>
      </c>
      <c r="D1082" s="116">
        <v>0</v>
      </c>
      <c r="E1082" s="136">
        <f ca="1">OFFSET(INDEX(Composições!A:J,MATCH(Orçamentária!A1082,Composições!A:A,0),8),2,0)</f>
        <v>181.9203366875</v>
      </c>
      <c r="F1082" s="137">
        <f t="shared" ca="1" si="48"/>
        <v>0</v>
      </c>
      <c r="G1082" s="138" t="e">
        <f>IF(A1082&lt;&gt;"",IF(AND(#REF!="Padrão",$H$4=#REF!),BDI!$B$17,IF(AND(#REF!="Padrão",$H$4=#REF!),BDI!#REF!,IF(AND(#REF!="Diferenciado",$H$4=#REF!),BDI!$E$17,IF(AND(#REF!="Diferenciado",$H$4=#REF!),BDI!#REF!,IF(#REF!="ZERO",0))))),"")</f>
        <v>#REF!</v>
      </c>
      <c r="H1082" s="139" t="e">
        <f t="shared" ca="1" si="49"/>
        <v>#REF!</v>
      </c>
      <c r="I1082" s="137" t="e">
        <f t="shared" ca="1" si="50"/>
        <v>#REF!</v>
      </c>
    </row>
    <row r="1083" spans="1:9" hidden="1" x14ac:dyDescent="0.25">
      <c r="A1083" s="114" t="s">
        <v>1252</v>
      </c>
      <c r="B1083" s="115" t="s">
        <v>3174</v>
      </c>
      <c r="C1083" s="116" t="s">
        <v>94</v>
      </c>
      <c r="D1083" s="116">
        <v>0</v>
      </c>
      <c r="E1083" s="136">
        <f ca="1">OFFSET(INDEX(Composições!A:J,MATCH(Orçamentária!A1083,Composições!A:A,0),8),2,0)</f>
        <v>802.80633499999999</v>
      </c>
      <c r="F1083" s="137">
        <f t="shared" ca="1" si="48"/>
        <v>0</v>
      </c>
      <c r="G1083" s="138" t="e">
        <f>IF(A1083&lt;&gt;"",IF(AND(#REF!="Padrão",$H$4=#REF!),BDI!$B$17,IF(AND(#REF!="Padrão",$H$4=#REF!),BDI!#REF!,IF(AND(#REF!="Diferenciado",$H$4=#REF!),BDI!$E$17,IF(AND(#REF!="Diferenciado",$H$4=#REF!),BDI!#REF!,IF(#REF!="ZERO",0))))),"")</f>
        <v>#REF!</v>
      </c>
      <c r="H1083" s="139" t="e">
        <f t="shared" ca="1" si="49"/>
        <v>#REF!</v>
      </c>
      <c r="I1083" s="137" t="e">
        <f t="shared" ca="1" si="50"/>
        <v>#REF!</v>
      </c>
    </row>
    <row r="1084" spans="1:9" hidden="1" x14ac:dyDescent="0.25">
      <c r="A1084" s="114" t="s">
        <v>3175</v>
      </c>
      <c r="B1084" s="115" t="s">
        <v>3176</v>
      </c>
      <c r="C1084" s="116" t="s">
        <v>96</v>
      </c>
      <c r="D1084" s="116">
        <v>0</v>
      </c>
      <c r="E1084" s="136" t="s">
        <v>572</v>
      </c>
      <c r="F1084" s="137" t="str">
        <f t="shared" si="48"/>
        <v/>
      </c>
      <c r="G1084" s="138" t="e">
        <f>IF(A1084&lt;&gt;"",IF(AND(#REF!="Padrão",$H$4=#REF!),BDI!$B$17,IF(AND(#REF!="Padrão",$H$4=#REF!),BDI!#REF!,IF(AND(#REF!="Diferenciado",$H$4=#REF!),BDI!$E$17,IF(AND(#REF!="Diferenciado",$H$4=#REF!),BDI!#REF!,IF(#REF!="ZERO",0))))),"")</f>
        <v>#REF!</v>
      </c>
      <c r="H1084" s="139" t="str">
        <f t="shared" si="49"/>
        <v/>
      </c>
      <c r="I1084" s="137" t="str">
        <f t="shared" si="50"/>
        <v/>
      </c>
    </row>
    <row r="1085" spans="1:9" hidden="1" x14ac:dyDescent="0.25">
      <c r="A1085" s="114" t="s">
        <v>1259</v>
      </c>
      <c r="B1085" s="115" t="s">
        <v>3177</v>
      </c>
      <c r="C1085" s="116" t="s">
        <v>94</v>
      </c>
      <c r="D1085" s="116">
        <v>0</v>
      </c>
      <c r="E1085" s="136">
        <f ca="1">OFFSET(INDEX(Composições!A:J,MATCH(Orçamentária!A1085,Composições!A:A,0),8),2,0)</f>
        <v>2.0539000000000001</v>
      </c>
      <c r="F1085" s="137">
        <f t="shared" ca="1" si="48"/>
        <v>0</v>
      </c>
      <c r="G1085" s="138" t="e">
        <f>IF(A1085&lt;&gt;"",IF(AND(#REF!="Padrão",$H$4=#REF!),BDI!$B$17,IF(AND(#REF!="Padrão",$H$4=#REF!),BDI!#REF!,IF(AND(#REF!="Diferenciado",$H$4=#REF!),BDI!$E$17,IF(AND(#REF!="Diferenciado",$H$4=#REF!),BDI!#REF!,IF(#REF!="ZERO",0))))),"")</f>
        <v>#REF!</v>
      </c>
      <c r="H1085" s="139" t="e">
        <f t="shared" ca="1" si="49"/>
        <v>#REF!</v>
      </c>
      <c r="I1085" s="137" t="e">
        <f t="shared" ca="1" si="50"/>
        <v>#REF!</v>
      </c>
    </row>
    <row r="1086" spans="1:9" hidden="1" x14ac:dyDescent="0.25">
      <c r="A1086" s="114" t="s">
        <v>3178</v>
      </c>
      <c r="B1086" s="115" t="s">
        <v>3179</v>
      </c>
      <c r="C1086" s="116" t="s">
        <v>94</v>
      </c>
      <c r="D1086" s="116">
        <v>0</v>
      </c>
      <c r="E1086" s="136" t="s">
        <v>572</v>
      </c>
      <c r="F1086" s="137" t="str">
        <f t="shared" si="48"/>
        <v/>
      </c>
      <c r="G1086" s="138" t="e">
        <f>IF(A1086&lt;&gt;"",IF(AND(#REF!="Padrão",$H$4=#REF!),BDI!$B$17,IF(AND(#REF!="Padrão",$H$4=#REF!),BDI!#REF!,IF(AND(#REF!="Diferenciado",$H$4=#REF!),BDI!$E$17,IF(AND(#REF!="Diferenciado",$H$4=#REF!),BDI!#REF!,IF(#REF!="ZERO",0))))),"")</f>
        <v>#REF!</v>
      </c>
      <c r="H1086" s="139" t="str">
        <f t="shared" si="49"/>
        <v/>
      </c>
      <c r="I1086" s="137" t="str">
        <f t="shared" si="50"/>
        <v/>
      </c>
    </row>
    <row r="1087" spans="1:9" hidden="1" x14ac:dyDescent="0.25">
      <c r="A1087" s="114" t="s">
        <v>1261</v>
      </c>
      <c r="B1087" s="115" t="s">
        <v>3180</v>
      </c>
      <c r="C1087" s="116" t="s">
        <v>12</v>
      </c>
      <c r="D1087" s="116">
        <v>0</v>
      </c>
      <c r="E1087" s="136">
        <f ca="1">OFFSET(INDEX(Composições!A:J,MATCH(Orçamentária!A1087,Composições!A:A,0),8),2,0)</f>
        <v>2.4889999999999999</v>
      </c>
      <c r="F1087" s="137">
        <f t="shared" ca="1" si="48"/>
        <v>0</v>
      </c>
      <c r="G1087" s="138" t="e">
        <f>IF(A1087&lt;&gt;"",IF(AND(#REF!="Padrão",$H$4=#REF!),BDI!$B$17,IF(AND(#REF!="Padrão",$H$4=#REF!),BDI!#REF!,IF(AND(#REF!="Diferenciado",$H$4=#REF!),BDI!$E$17,IF(AND(#REF!="Diferenciado",$H$4=#REF!),BDI!#REF!,IF(#REF!="ZERO",0))))),"")</f>
        <v>#REF!</v>
      </c>
      <c r="H1087" s="139" t="e">
        <f t="shared" ca="1" si="49"/>
        <v>#REF!</v>
      </c>
      <c r="I1087" s="137" t="e">
        <f t="shared" ca="1" si="50"/>
        <v>#REF!</v>
      </c>
    </row>
    <row r="1088" spans="1:9" hidden="1" x14ac:dyDescent="0.25">
      <c r="A1088" s="114" t="s">
        <v>1263</v>
      </c>
      <c r="B1088" s="115" t="s">
        <v>3181</v>
      </c>
      <c r="C1088" s="116" t="s">
        <v>12</v>
      </c>
      <c r="D1088" s="116">
        <v>0</v>
      </c>
      <c r="E1088" s="136">
        <f ca="1">OFFSET(INDEX(Composições!A:J,MATCH(Orçamentária!A1088,Composições!A:A,0),8),2,0)</f>
        <v>1.3566</v>
      </c>
      <c r="F1088" s="137">
        <f t="shared" ca="1" si="48"/>
        <v>0</v>
      </c>
      <c r="G1088" s="138" t="e">
        <f>IF(A1088&lt;&gt;"",IF(AND(#REF!="Padrão",$H$4=#REF!),BDI!$B$17,IF(AND(#REF!="Padrão",$H$4=#REF!),BDI!#REF!,IF(AND(#REF!="Diferenciado",$H$4=#REF!),BDI!$E$17,IF(AND(#REF!="Diferenciado",$H$4=#REF!),BDI!#REF!,IF(#REF!="ZERO",0))))),"")</f>
        <v>#REF!</v>
      </c>
      <c r="H1088" s="139" t="e">
        <f t="shared" ca="1" si="49"/>
        <v>#REF!</v>
      </c>
      <c r="I1088" s="137" t="e">
        <f t="shared" ca="1" si="50"/>
        <v>#REF!</v>
      </c>
    </row>
    <row r="1089" spans="1:9" hidden="1" x14ac:dyDescent="0.25">
      <c r="A1089" s="114" t="s">
        <v>3182</v>
      </c>
      <c r="B1089" s="115" t="s">
        <v>3183</v>
      </c>
      <c r="C1089" s="116" t="s">
        <v>20</v>
      </c>
      <c r="D1089" s="116">
        <v>0</v>
      </c>
      <c r="E1089" s="136" t="s">
        <v>572</v>
      </c>
      <c r="F1089" s="137" t="str">
        <f t="shared" si="48"/>
        <v/>
      </c>
      <c r="G1089" s="138" t="e">
        <f>IF(A1089&lt;&gt;"",IF(AND(#REF!="Padrão",$H$4=#REF!),BDI!$B$17,IF(AND(#REF!="Padrão",$H$4=#REF!),BDI!#REF!,IF(AND(#REF!="Diferenciado",$H$4=#REF!),BDI!$E$17,IF(AND(#REF!="Diferenciado",$H$4=#REF!),BDI!#REF!,IF(#REF!="ZERO",0))))),"")</f>
        <v>#REF!</v>
      </c>
      <c r="H1089" s="139" t="str">
        <f t="shared" si="49"/>
        <v/>
      </c>
      <c r="I1089" s="137" t="str">
        <f t="shared" si="50"/>
        <v/>
      </c>
    </row>
    <row r="1090" spans="1:9" hidden="1" x14ac:dyDescent="0.25">
      <c r="A1090" s="114" t="s">
        <v>3184</v>
      </c>
      <c r="B1090" s="115" t="s">
        <v>3185</v>
      </c>
      <c r="C1090" s="116" t="s">
        <v>20</v>
      </c>
      <c r="D1090" s="116">
        <v>0</v>
      </c>
      <c r="E1090" s="136" t="s">
        <v>572</v>
      </c>
      <c r="F1090" s="137" t="str">
        <f t="shared" si="48"/>
        <v/>
      </c>
      <c r="G1090" s="138" t="e">
        <f>IF(A1090&lt;&gt;"",IF(AND(#REF!="Padrão",$H$4=#REF!),BDI!$B$17,IF(AND(#REF!="Padrão",$H$4=#REF!),BDI!#REF!,IF(AND(#REF!="Diferenciado",$H$4=#REF!),BDI!$E$17,IF(AND(#REF!="Diferenciado",$H$4=#REF!),BDI!#REF!,IF(#REF!="ZERO",0))))),"")</f>
        <v>#REF!</v>
      </c>
      <c r="H1090" s="139" t="str">
        <f t="shared" si="49"/>
        <v/>
      </c>
      <c r="I1090" s="137" t="str">
        <f t="shared" si="50"/>
        <v/>
      </c>
    </row>
    <row r="1091" spans="1:9" hidden="1" x14ac:dyDescent="0.25">
      <c r="A1091" s="114" t="s">
        <v>3186</v>
      </c>
      <c r="B1091" s="115" t="s">
        <v>3187</v>
      </c>
      <c r="C1091" s="116" t="s">
        <v>20</v>
      </c>
      <c r="D1091" s="116">
        <v>0</v>
      </c>
      <c r="E1091" s="136" t="s">
        <v>572</v>
      </c>
      <c r="F1091" s="137" t="str">
        <f t="shared" si="48"/>
        <v/>
      </c>
      <c r="G1091" s="138" t="e">
        <f>IF(A1091&lt;&gt;"",IF(AND(#REF!="Padrão",$H$4=#REF!),BDI!$B$17,IF(AND(#REF!="Padrão",$H$4=#REF!),BDI!#REF!,IF(AND(#REF!="Diferenciado",$H$4=#REF!),BDI!$E$17,IF(AND(#REF!="Diferenciado",$H$4=#REF!),BDI!#REF!,IF(#REF!="ZERO",0))))),"")</f>
        <v>#REF!</v>
      </c>
      <c r="H1091" s="139" t="str">
        <f t="shared" si="49"/>
        <v/>
      </c>
      <c r="I1091" s="137" t="str">
        <f t="shared" si="50"/>
        <v/>
      </c>
    </row>
    <row r="1092" spans="1:9" hidden="1" x14ac:dyDescent="0.25">
      <c r="A1092" s="114" t="s">
        <v>3188</v>
      </c>
      <c r="B1092" s="115" t="s">
        <v>3189</v>
      </c>
      <c r="C1092" s="116" t="s">
        <v>2066</v>
      </c>
      <c r="D1092" s="116">
        <v>0</v>
      </c>
      <c r="E1092" s="136" t="s">
        <v>572</v>
      </c>
      <c r="F1092" s="137" t="str">
        <f t="shared" si="48"/>
        <v/>
      </c>
      <c r="G1092" s="138" t="e">
        <f>IF(A1092&lt;&gt;"",IF(AND(#REF!="Padrão",$H$4=#REF!),BDI!$B$17,IF(AND(#REF!="Padrão",$H$4=#REF!),BDI!#REF!,IF(AND(#REF!="Diferenciado",$H$4=#REF!),BDI!$E$17,IF(AND(#REF!="Diferenciado",$H$4=#REF!),BDI!#REF!,IF(#REF!="ZERO",0))))),"")</f>
        <v>#REF!</v>
      </c>
      <c r="H1092" s="139" t="str">
        <f t="shared" si="49"/>
        <v/>
      </c>
      <c r="I1092" s="137" t="str">
        <f t="shared" si="50"/>
        <v/>
      </c>
    </row>
    <row r="1093" spans="1:9" hidden="1" x14ac:dyDescent="0.25">
      <c r="A1093" s="114" t="s">
        <v>1265</v>
      </c>
      <c r="B1093" s="115" t="s">
        <v>3190</v>
      </c>
      <c r="C1093" s="116" t="s">
        <v>20</v>
      </c>
      <c r="D1093" s="116">
        <v>0</v>
      </c>
      <c r="E1093" s="136">
        <f ca="1">OFFSET(INDEX(Composições!A:J,MATCH(Orçamentária!A1093,Composições!A:A,0),8),2,0)</f>
        <v>41.014644499999996</v>
      </c>
      <c r="F1093" s="137">
        <f t="shared" ca="1" si="48"/>
        <v>0</v>
      </c>
      <c r="G1093" s="138" t="e">
        <f>IF(A1093&lt;&gt;"",IF(AND(#REF!="Padrão",$H$4=#REF!),BDI!$B$17,IF(AND(#REF!="Padrão",$H$4=#REF!),BDI!#REF!,IF(AND(#REF!="Diferenciado",$H$4=#REF!),BDI!$E$17,IF(AND(#REF!="Diferenciado",$H$4=#REF!),BDI!#REF!,IF(#REF!="ZERO",0))))),"")</f>
        <v>#REF!</v>
      </c>
      <c r="H1093" s="139" t="e">
        <f t="shared" ca="1" si="49"/>
        <v>#REF!</v>
      </c>
      <c r="I1093" s="137" t="e">
        <f t="shared" ca="1" si="50"/>
        <v>#REF!</v>
      </c>
    </row>
    <row r="1094" spans="1:9" hidden="1" x14ac:dyDescent="0.25">
      <c r="A1094" s="114" t="s">
        <v>1270</v>
      </c>
      <c r="B1094" s="115" t="s">
        <v>3191</v>
      </c>
      <c r="C1094" s="116" t="s">
        <v>20</v>
      </c>
      <c r="D1094" s="116">
        <v>0</v>
      </c>
      <c r="E1094" s="136">
        <f ca="1">OFFSET(INDEX(Composições!A:J,MATCH(Orçamentária!A1094,Composições!A:A,0),8),2,0)</f>
        <v>62.398022550000007</v>
      </c>
      <c r="F1094" s="137">
        <f t="shared" ca="1" si="48"/>
        <v>0</v>
      </c>
      <c r="G1094" s="138" t="e">
        <f>IF(A1094&lt;&gt;"",IF(AND(#REF!="Padrão",$H$4=#REF!),BDI!$B$17,IF(AND(#REF!="Padrão",$H$4=#REF!),BDI!#REF!,IF(AND(#REF!="Diferenciado",$H$4=#REF!),BDI!$E$17,IF(AND(#REF!="Diferenciado",$H$4=#REF!),BDI!#REF!,IF(#REF!="ZERO",0))))),"")</f>
        <v>#REF!</v>
      </c>
      <c r="H1094" s="139" t="e">
        <f t="shared" ca="1" si="49"/>
        <v>#REF!</v>
      </c>
      <c r="I1094" s="137" t="e">
        <f t="shared" ca="1" si="50"/>
        <v>#REF!</v>
      </c>
    </row>
    <row r="1095" spans="1:9" hidden="1" x14ac:dyDescent="0.25">
      <c r="A1095" s="114" t="s">
        <v>1272</v>
      </c>
      <c r="B1095" s="115" t="s">
        <v>3192</v>
      </c>
      <c r="C1095" s="116" t="s">
        <v>20</v>
      </c>
      <c r="D1095" s="116">
        <v>0</v>
      </c>
      <c r="E1095" s="136">
        <f ca="1">OFFSET(INDEX(Composições!A:J,MATCH(Orçamentária!A1095,Composições!A:A,0),8),2,0)</f>
        <v>15.074071799999999</v>
      </c>
      <c r="F1095" s="137">
        <f t="shared" ref="F1095:F1158" ca="1" si="51">IF(ISNUMBER(E1095),D1095*E1095,"")</f>
        <v>0</v>
      </c>
      <c r="G1095" s="138" t="e">
        <f>IF(A1095&lt;&gt;"",IF(AND(#REF!="Padrão",$H$4=#REF!),BDI!$B$17,IF(AND(#REF!="Padrão",$H$4=#REF!),BDI!#REF!,IF(AND(#REF!="Diferenciado",$H$4=#REF!),BDI!$E$17,IF(AND(#REF!="Diferenciado",$H$4=#REF!),BDI!#REF!,IF(#REF!="ZERO",0))))),"")</f>
        <v>#REF!</v>
      </c>
      <c r="H1095" s="139" t="e">
        <f t="shared" ref="H1095:H1158" ca="1" si="52">IF(ISNUMBER(E1095),ROUND(E1095*(1+G1095),2),"")</f>
        <v>#REF!</v>
      </c>
      <c r="I1095" s="137" t="e">
        <f t="shared" ref="I1095:I1158" ca="1" si="53">IF(ISNUMBER(E1095),ROUND(H1095*D1095,2),"")</f>
        <v>#REF!</v>
      </c>
    </row>
    <row r="1096" spans="1:9" hidden="1" x14ac:dyDescent="0.25">
      <c r="A1096" s="114" t="s">
        <v>3193</v>
      </c>
      <c r="B1096" s="115" t="s">
        <v>3194</v>
      </c>
      <c r="C1096" s="116" t="s">
        <v>20</v>
      </c>
      <c r="D1096" s="116">
        <v>0</v>
      </c>
      <c r="E1096" s="136" t="s">
        <v>572</v>
      </c>
      <c r="F1096" s="137" t="str">
        <f t="shared" si="51"/>
        <v/>
      </c>
      <c r="G1096" s="138" t="e">
        <f>IF(A1096&lt;&gt;"",IF(AND(#REF!="Padrão",$H$4=#REF!),BDI!$B$17,IF(AND(#REF!="Padrão",$H$4=#REF!),BDI!#REF!,IF(AND(#REF!="Diferenciado",$H$4=#REF!),BDI!$E$17,IF(AND(#REF!="Diferenciado",$H$4=#REF!),BDI!#REF!,IF(#REF!="ZERO",0))))),"")</f>
        <v>#REF!</v>
      </c>
      <c r="H1096" s="139" t="str">
        <f t="shared" si="52"/>
        <v/>
      </c>
      <c r="I1096" s="137" t="str">
        <f t="shared" si="53"/>
        <v/>
      </c>
    </row>
    <row r="1097" spans="1:9" hidden="1" x14ac:dyDescent="0.25">
      <c r="A1097" s="114" t="s">
        <v>1274</v>
      </c>
      <c r="B1097" s="115" t="s">
        <v>3195</v>
      </c>
      <c r="C1097" s="116" t="s">
        <v>20</v>
      </c>
      <c r="D1097" s="116">
        <v>0</v>
      </c>
      <c r="E1097" s="136">
        <f ca="1">OFFSET(INDEX(Composições!A:J,MATCH(Orçamentária!A1097,Composições!A:A,0),8),2,0)</f>
        <v>26.7130595</v>
      </c>
      <c r="F1097" s="137">
        <f t="shared" ca="1" si="51"/>
        <v>0</v>
      </c>
      <c r="G1097" s="138" t="e">
        <f>IF(A1097&lt;&gt;"",IF(AND(#REF!="Padrão",$H$4=#REF!),BDI!$B$17,IF(AND(#REF!="Padrão",$H$4=#REF!),BDI!#REF!,IF(AND(#REF!="Diferenciado",$H$4=#REF!),BDI!$E$17,IF(AND(#REF!="Diferenciado",$H$4=#REF!),BDI!#REF!,IF(#REF!="ZERO",0))))),"")</f>
        <v>#REF!</v>
      </c>
      <c r="H1097" s="139" t="e">
        <f t="shared" ca="1" si="52"/>
        <v>#REF!</v>
      </c>
      <c r="I1097" s="137" t="e">
        <f t="shared" ca="1" si="53"/>
        <v>#REF!</v>
      </c>
    </row>
    <row r="1098" spans="1:9" hidden="1" x14ac:dyDescent="0.25">
      <c r="A1098" s="114" t="s">
        <v>1276</v>
      </c>
      <c r="B1098" s="115" t="s">
        <v>3196</v>
      </c>
      <c r="C1098" s="116" t="s">
        <v>20</v>
      </c>
      <c r="D1098" s="116">
        <v>0</v>
      </c>
      <c r="E1098" s="136">
        <f ca="1">OFFSET(INDEX(Composições!A:J,MATCH(Orçamentária!A1098,Composições!A:A,0),8),2,0)</f>
        <v>35.600346550000005</v>
      </c>
      <c r="F1098" s="137">
        <f t="shared" ca="1" si="51"/>
        <v>0</v>
      </c>
      <c r="G1098" s="138" t="e">
        <f>IF(A1098&lt;&gt;"",IF(AND(#REF!="Padrão",$H$4=#REF!),BDI!$B$17,IF(AND(#REF!="Padrão",$H$4=#REF!),BDI!#REF!,IF(AND(#REF!="Diferenciado",$H$4=#REF!),BDI!$E$17,IF(AND(#REF!="Diferenciado",$H$4=#REF!),BDI!#REF!,IF(#REF!="ZERO",0))))),"")</f>
        <v>#REF!</v>
      </c>
      <c r="H1098" s="139" t="e">
        <f t="shared" ca="1" si="52"/>
        <v>#REF!</v>
      </c>
      <c r="I1098" s="137" t="e">
        <f t="shared" ca="1" si="53"/>
        <v>#REF!</v>
      </c>
    </row>
    <row r="1099" spans="1:9" hidden="1" x14ac:dyDescent="0.25">
      <c r="A1099" s="114" t="s">
        <v>1278</v>
      </c>
      <c r="B1099" s="115" t="s">
        <v>3197</v>
      </c>
      <c r="C1099" s="116" t="s">
        <v>20</v>
      </c>
      <c r="D1099" s="116">
        <v>0</v>
      </c>
      <c r="E1099" s="136">
        <f ca="1">OFFSET(INDEX(Composições!A:J,MATCH(Orçamentária!A1099,Composições!A:A,0),8),2,0)</f>
        <v>8.6641558000000014</v>
      </c>
      <c r="F1099" s="137">
        <f t="shared" ca="1" si="51"/>
        <v>0</v>
      </c>
      <c r="G1099" s="138" t="e">
        <f>IF(A1099&lt;&gt;"",IF(AND(#REF!="Padrão",$H$4=#REF!),BDI!$B$17,IF(AND(#REF!="Padrão",$H$4=#REF!),BDI!#REF!,IF(AND(#REF!="Diferenciado",$H$4=#REF!),BDI!$E$17,IF(AND(#REF!="Diferenciado",$H$4=#REF!),BDI!#REF!,IF(#REF!="ZERO",0))))),"")</f>
        <v>#REF!</v>
      </c>
      <c r="H1099" s="139" t="e">
        <f t="shared" ca="1" si="52"/>
        <v>#REF!</v>
      </c>
      <c r="I1099" s="137" t="e">
        <f t="shared" ca="1" si="53"/>
        <v>#REF!</v>
      </c>
    </row>
    <row r="1100" spans="1:9" ht="25.5" hidden="1" x14ac:dyDescent="0.25">
      <c r="A1100" s="114" t="s">
        <v>3198</v>
      </c>
      <c r="B1100" s="115" t="s">
        <v>3199</v>
      </c>
      <c r="C1100" s="116" t="s">
        <v>20</v>
      </c>
      <c r="D1100" s="116">
        <v>0</v>
      </c>
      <c r="E1100" s="136" t="s">
        <v>572</v>
      </c>
      <c r="F1100" s="137" t="str">
        <f t="shared" si="51"/>
        <v/>
      </c>
      <c r="G1100" s="138" t="e">
        <f>IF(A1100&lt;&gt;"",IF(AND(#REF!="Padrão",$H$4=#REF!),BDI!$B$17,IF(AND(#REF!="Padrão",$H$4=#REF!),BDI!#REF!,IF(AND(#REF!="Diferenciado",$H$4=#REF!),BDI!$E$17,IF(AND(#REF!="Diferenciado",$H$4=#REF!),BDI!#REF!,IF(#REF!="ZERO",0))))),"")</f>
        <v>#REF!</v>
      </c>
      <c r="H1100" s="139" t="str">
        <f t="shared" si="52"/>
        <v/>
      </c>
      <c r="I1100" s="137" t="str">
        <f t="shared" si="53"/>
        <v/>
      </c>
    </row>
    <row r="1101" spans="1:9" ht="25.5" hidden="1" x14ac:dyDescent="0.25">
      <c r="A1101" s="114" t="s">
        <v>3200</v>
      </c>
      <c r="B1101" s="115" t="s">
        <v>3201</v>
      </c>
      <c r="C1101" s="116" t="s">
        <v>20</v>
      </c>
      <c r="D1101" s="116">
        <v>0</v>
      </c>
      <c r="E1101" s="136" t="s">
        <v>572</v>
      </c>
      <c r="F1101" s="137" t="str">
        <f t="shared" si="51"/>
        <v/>
      </c>
      <c r="G1101" s="138" t="e">
        <f>IF(A1101&lt;&gt;"",IF(AND(#REF!="Padrão",$H$4=#REF!),BDI!$B$17,IF(AND(#REF!="Padrão",$H$4=#REF!),BDI!#REF!,IF(AND(#REF!="Diferenciado",$H$4=#REF!),BDI!$E$17,IF(AND(#REF!="Diferenciado",$H$4=#REF!),BDI!#REF!,IF(#REF!="ZERO",0))))),"")</f>
        <v>#REF!</v>
      </c>
      <c r="H1101" s="139" t="str">
        <f t="shared" si="52"/>
        <v/>
      </c>
      <c r="I1101" s="137" t="str">
        <f t="shared" si="53"/>
        <v/>
      </c>
    </row>
    <row r="1102" spans="1:9" hidden="1" x14ac:dyDescent="0.25">
      <c r="A1102" s="114" t="s">
        <v>1280</v>
      </c>
      <c r="B1102" s="115" t="s">
        <v>3202</v>
      </c>
      <c r="C1102" s="116" t="s">
        <v>94</v>
      </c>
      <c r="D1102" s="116">
        <v>0</v>
      </c>
      <c r="E1102" s="136">
        <f ca="1">OFFSET(INDEX(Composições!A:J,MATCH(Orçamentária!A1102,Composições!A:A,0),8),2,0)</f>
        <v>130.00577099999998</v>
      </c>
      <c r="F1102" s="137">
        <f t="shared" ca="1" si="51"/>
        <v>0</v>
      </c>
      <c r="G1102" s="138" t="e">
        <f>IF(A1102&lt;&gt;"",IF(AND(#REF!="Padrão",$H$4=#REF!),BDI!$B$17,IF(AND(#REF!="Padrão",$H$4=#REF!),BDI!#REF!,IF(AND(#REF!="Diferenciado",$H$4=#REF!),BDI!$E$17,IF(AND(#REF!="Diferenciado",$H$4=#REF!),BDI!#REF!,IF(#REF!="ZERO",0))))),"")</f>
        <v>#REF!</v>
      </c>
      <c r="H1102" s="139" t="e">
        <f t="shared" ca="1" si="52"/>
        <v>#REF!</v>
      </c>
      <c r="I1102" s="137" t="e">
        <f t="shared" ca="1" si="53"/>
        <v>#REF!</v>
      </c>
    </row>
    <row r="1103" spans="1:9" hidden="1" x14ac:dyDescent="0.25">
      <c r="A1103" s="114" t="s">
        <v>1282</v>
      </c>
      <c r="B1103" s="115" t="s">
        <v>3203</v>
      </c>
      <c r="C1103" s="116" t="s">
        <v>94</v>
      </c>
      <c r="D1103" s="116">
        <v>0</v>
      </c>
      <c r="E1103" s="136">
        <f ca="1">OFFSET(INDEX(Composições!A:J,MATCH(Orçamentária!A1103,Composições!A:A,0),8),2,0)</f>
        <v>156.28140204999997</v>
      </c>
      <c r="F1103" s="137">
        <f t="shared" ca="1" si="51"/>
        <v>0</v>
      </c>
      <c r="G1103" s="138" t="e">
        <f>IF(A1103&lt;&gt;"",IF(AND(#REF!="Padrão",$H$4=#REF!),BDI!$B$17,IF(AND(#REF!="Padrão",$H$4=#REF!),BDI!#REF!,IF(AND(#REF!="Diferenciado",$H$4=#REF!),BDI!$E$17,IF(AND(#REF!="Diferenciado",$H$4=#REF!),BDI!#REF!,IF(#REF!="ZERO",0))))),"")</f>
        <v>#REF!</v>
      </c>
      <c r="H1103" s="139" t="e">
        <f t="shared" ca="1" si="52"/>
        <v>#REF!</v>
      </c>
      <c r="I1103" s="137" t="e">
        <f t="shared" ca="1" si="53"/>
        <v>#REF!</v>
      </c>
    </row>
    <row r="1104" spans="1:9" hidden="1" x14ac:dyDescent="0.25">
      <c r="A1104" s="114" t="s">
        <v>3204</v>
      </c>
      <c r="B1104" s="115" t="s">
        <v>3205</v>
      </c>
      <c r="C1104" s="116" t="s">
        <v>20</v>
      </c>
      <c r="D1104" s="116">
        <v>0</v>
      </c>
      <c r="E1104" s="136" t="s">
        <v>572</v>
      </c>
      <c r="F1104" s="137" t="str">
        <f t="shared" si="51"/>
        <v/>
      </c>
      <c r="G1104" s="138" t="e">
        <f>IF(A1104&lt;&gt;"",IF(AND(#REF!="Padrão",$H$4=#REF!),BDI!$B$17,IF(AND(#REF!="Padrão",$H$4=#REF!),BDI!#REF!,IF(AND(#REF!="Diferenciado",$H$4=#REF!),BDI!$E$17,IF(AND(#REF!="Diferenciado",$H$4=#REF!),BDI!#REF!,IF(#REF!="ZERO",0))))),"")</f>
        <v>#REF!</v>
      </c>
      <c r="H1104" s="139" t="str">
        <f t="shared" si="52"/>
        <v/>
      </c>
      <c r="I1104" s="137" t="str">
        <f t="shared" si="53"/>
        <v/>
      </c>
    </row>
    <row r="1105" spans="1:9" hidden="1" x14ac:dyDescent="0.25">
      <c r="A1105" s="114" t="s">
        <v>3206</v>
      </c>
      <c r="B1105" s="115" t="s">
        <v>3207</v>
      </c>
      <c r="C1105" s="116" t="s">
        <v>20</v>
      </c>
      <c r="D1105" s="116">
        <v>0</v>
      </c>
      <c r="E1105" s="136" t="s">
        <v>572</v>
      </c>
      <c r="F1105" s="137" t="str">
        <f t="shared" si="51"/>
        <v/>
      </c>
      <c r="G1105" s="138" t="e">
        <f>IF(A1105&lt;&gt;"",IF(AND(#REF!="Padrão",$H$4=#REF!),BDI!$B$17,IF(AND(#REF!="Padrão",$H$4=#REF!),BDI!#REF!,IF(AND(#REF!="Diferenciado",$H$4=#REF!),BDI!$E$17,IF(AND(#REF!="Diferenciado",$H$4=#REF!),BDI!#REF!,IF(#REF!="ZERO",0))))),"")</f>
        <v>#REF!</v>
      </c>
      <c r="H1105" s="139" t="str">
        <f t="shared" si="52"/>
        <v/>
      </c>
      <c r="I1105" s="137" t="str">
        <f t="shared" si="53"/>
        <v/>
      </c>
    </row>
    <row r="1106" spans="1:9" hidden="1" x14ac:dyDescent="0.25">
      <c r="A1106" s="114" t="s">
        <v>1284</v>
      </c>
      <c r="B1106" s="115" t="s">
        <v>3208</v>
      </c>
      <c r="C1106" s="116" t="s">
        <v>94</v>
      </c>
      <c r="D1106" s="116">
        <v>0</v>
      </c>
      <c r="E1106" s="136">
        <f ca="1">OFFSET(INDEX(Composições!A:J,MATCH(Orçamentária!A1106,Composições!A:A,0),8),2,0)</f>
        <v>34.673032550000002</v>
      </c>
      <c r="F1106" s="137">
        <f t="shared" ca="1" si="51"/>
        <v>0</v>
      </c>
      <c r="G1106" s="138" t="e">
        <f>IF(A1106&lt;&gt;"",IF(AND(#REF!="Padrão",$H$4=#REF!),BDI!$B$17,IF(AND(#REF!="Padrão",$H$4=#REF!),BDI!#REF!,IF(AND(#REF!="Diferenciado",$H$4=#REF!),BDI!$E$17,IF(AND(#REF!="Diferenciado",$H$4=#REF!),BDI!#REF!,IF(#REF!="ZERO",0))))),"")</f>
        <v>#REF!</v>
      </c>
      <c r="H1106" s="139" t="e">
        <f t="shared" ca="1" si="52"/>
        <v>#REF!</v>
      </c>
      <c r="I1106" s="137" t="e">
        <f t="shared" ca="1" si="53"/>
        <v>#REF!</v>
      </c>
    </row>
    <row r="1107" spans="1:9" hidden="1" x14ac:dyDescent="0.25">
      <c r="A1107" s="114" t="s">
        <v>1286</v>
      </c>
      <c r="B1107" s="115" t="s">
        <v>3209</v>
      </c>
      <c r="C1107" s="116" t="s">
        <v>2606</v>
      </c>
      <c r="D1107" s="116">
        <v>0</v>
      </c>
      <c r="E1107" s="136">
        <f ca="1">OFFSET(INDEX(Composições!A:J,MATCH(Orçamentária!A1107,Composições!A:A,0),8),2,0)</f>
        <v>1723.9577799999997</v>
      </c>
      <c r="F1107" s="137">
        <f t="shared" ca="1" si="51"/>
        <v>0</v>
      </c>
      <c r="G1107" s="138" t="e">
        <f>IF(A1107&lt;&gt;"",IF(AND(#REF!="Padrão",$H$4=#REF!),BDI!$B$17,IF(AND(#REF!="Padrão",$H$4=#REF!),BDI!#REF!,IF(AND(#REF!="Diferenciado",$H$4=#REF!),BDI!$E$17,IF(AND(#REF!="Diferenciado",$H$4=#REF!),BDI!#REF!,IF(#REF!="ZERO",0))))),"")</f>
        <v>#REF!</v>
      </c>
      <c r="H1107" s="139" t="e">
        <f t="shared" ca="1" si="52"/>
        <v>#REF!</v>
      </c>
      <c r="I1107" s="137" t="e">
        <f t="shared" ca="1" si="53"/>
        <v>#REF!</v>
      </c>
    </row>
    <row r="1108" spans="1:9" hidden="1" x14ac:dyDescent="0.25">
      <c r="A1108" s="114" t="s">
        <v>3210</v>
      </c>
      <c r="B1108" s="115" t="s">
        <v>3211</v>
      </c>
      <c r="C1108" s="116" t="s">
        <v>2823</v>
      </c>
      <c r="D1108" s="116">
        <v>0</v>
      </c>
      <c r="E1108" s="136" t="s">
        <v>572</v>
      </c>
      <c r="F1108" s="137" t="str">
        <f t="shared" si="51"/>
        <v/>
      </c>
      <c r="G1108" s="138" t="e">
        <f>IF(A1108&lt;&gt;"",IF(AND(#REF!="Padrão",$H$4=#REF!),BDI!$B$17,IF(AND(#REF!="Padrão",$H$4=#REF!),BDI!#REF!,IF(AND(#REF!="Diferenciado",$H$4=#REF!),BDI!$E$17,IF(AND(#REF!="Diferenciado",$H$4=#REF!),BDI!#REF!,IF(#REF!="ZERO",0))))),"")</f>
        <v>#REF!</v>
      </c>
      <c r="H1108" s="139" t="str">
        <f t="shared" si="52"/>
        <v/>
      </c>
      <c r="I1108" s="137" t="str">
        <f t="shared" si="53"/>
        <v/>
      </c>
    </row>
    <row r="1109" spans="1:9" hidden="1" x14ac:dyDescent="0.25">
      <c r="A1109" s="114" t="s">
        <v>1288</v>
      </c>
      <c r="B1109" s="115" t="s">
        <v>3212</v>
      </c>
      <c r="C1109" s="116" t="s">
        <v>96</v>
      </c>
      <c r="D1109" s="116">
        <v>0</v>
      </c>
      <c r="E1109" s="136">
        <f ca="1">OFFSET(INDEX(Composições!A:J,MATCH(Orçamentária!A1109,Composições!A:A,0),8),2,0)</f>
        <v>10.065250000000001</v>
      </c>
      <c r="F1109" s="137">
        <f t="shared" ca="1" si="51"/>
        <v>0</v>
      </c>
      <c r="G1109" s="138" t="e">
        <f>IF(A1109&lt;&gt;"",IF(AND(#REF!="Padrão",$H$4=#REF!),BDI!$B$17,IF(AND(#REF!="Padrão",$H$4=#REF!),BDI!#REF!,IF(AND(#REF!="Diferenciado",$H$4=#REF!),BDI!$E$17,IF(AND(#REF!="Diferenciado",$H$4=#REF!),BDI!#REF!,IF(#REF!="ZERO",0))))),"")</f>
        <v>#REF!</v>
      </c>
      <c r="H1109" s="139" t="e">
        <f t="shared" ca="1" si="52"/>
        <v>#REF!</v>
      </c>
      <c r="I1109" s="137" t="e">
        <f t="shared" ca="1" si="53"/>
        <v>#REF!</v>
      </c>
    </row>
    <row r="1110" spans="1:9" hidden="1" x14ac:dyDescent="0.25">
      <c r="A1110" s="114" t="s">
        <v>1290</v>
      </c>
      <c r="B1110" s="115" t="s">
        <v>3213</v>
      </c>
      <c r="C1110" s="116" t="s">
        <v>96</v>
      </c>
      <c r="D1110" s="116">
        <v>0</v>
      </c>
      <c r="E1110" s="136">
        <f ca="1">OFFSET(INDEX(Composições!A:J,MATCH(Orçamentária!A1110,Composições!A:A,0),8),2,0)</f>
        <v>38.013300000000001</v>
      </c>
      <c r="F1110" s="137">
        <f t="shared" ca="1" si="51"/>
        <v>0</v>
      </c>
      <c r="G1110" s="138" t="e">
        <f>IF(A1110&lt;&gt;"",IF(AND(#REF!="Padrão",$H$4=#REF!),BDI!$B$17,IF(AND(#REF!="Padrão",$H$4=#REF!),BDI!#REF!,IF(AND(#REF!="Diferenciado",$H$4=#REF!),BDI!$E$17,IF(AND(#REF!="Diferenciado",$H$4=#REF!),BDI!#REF!,IF(#REF!="ZERO",0))))),"")</f>
        <v>#REF!</v>
      </c>
      <c r="H1110" s="139" t="e">
        <f t="shared" ca="1" si="52"/>
        <v>#REF!</v>
      </c>
      <c r="I1110" s="137" t="e">
        <f t="shared" ca="1" si="53"/>
        <v>#REF!</v>
      </c>
    </row>
    <row r="1111" spans="1:9" ht="25.5" hidden="1" x14ac:dyDescent="0.25">
      <c r="A1111" s="114" t="s">
        <v>1293</v>
      </c>
      <c r="B1111" s="115" t="s">
        <v>3214</v>
      </c>
      <c r="C1111" s="116" t="s">
        <v>96</v>
      </c>
      <c r="D1111" s="116">
        <v>0</v>
      </c>
      <c r="E1111" s="136">
        <f ca="1">OFFSET(INDEX(Composições!A:J,MATCH(Orçamentária!A1111,Composições!A:A,0),8),2,0)</f>
        <v>43.224525</v>
      </c>
      <c r="F1111" s="137">
        <f t="shared" ca="1" si="51"/>
        <v>0</v>
      </c>
      <c r="G1111" s="138" t="e">
        <f>IF(A1111&lt;&gt;"",IF(AND(#REF!="Padrão",$H$4=#REF!),BDI!$B$17,IF(AND(#REF!="Padrão",$H$4=#REF!),BDI!#REF!,IF(AND(#REF!="Diferenciado",$H$4=#REF!),BDI!$E$17,IF(AND(#REF!="Diferenciado",$H$4=#REF!),BDI!#REF!,IF(#REF!="ZERO",0))))),"")</f>
        <v>#REF!</v>
      </c>
      <c r="H1111" s="139" t="e">
        <f t="shared" ca="1" si="52"/>
        <v>#REF!</v>
      </c>
      <c r="I1111" s="137" t="e">
        <f t="shared" ca="1" si="53"/>
        <v>#REF!</v>
      </c>
    </row>
    <row r="1112" spans="1:9" hidden="1" x14ac:dyDescent="0.25">
      <c r="A1112" s="114" t="s">
        <v>1295</v>
      </c>
      <c r="B1112" s="115" t="s">
        <v>3215</v>
      </c>
      <c r="C1112" s="116" t="s">
        <v>96</v>
      </c>
      <c r="D1112" s="116">
        <v>0</v>
      </c>
      <c r="E1112" s="136">
        <f ca="1">OFFSET(INDEX(Composições!A:J,MATCH(Orçamentária!A1112,Composições!A:A,0),8),2,0)</f>
        <v>43.224525</v>
      </c>
      <c r="F1112" s="137">
        <f t="shared" ca="1" si="51"/>
        <v>0</v>
      </c>
      <c r="G1112" s="138" t="e">
        <f>IF(A1112&lt;&gt;"",IF(AND(#REF!="Padrão",$H$4=#REF!),BDI!$B$17,IF(AND(#REF!="Padrão",$H$4=#REF!),BDI!#REF!,IF(AND(#REF!="Diferenciado",$H$4=#REF!),BDI!$E$17,IF(AND(#REF!="Diferenciado",$H$4=#REF!),BDI!#REF!,IF(#REF!="ZERO",0))))),"")</f>
        <v>#REF!</v>
      </c>
      <c r="H1112" s="139" t="e">
        <f t="shared" ca="1" si="52"/>
        <v>#REF!</v>
      </c>
      <c r="I1112" s="137" t="e">
        <f t="shared" ca="1" si="53"/>
        <v>#REF!</v>
      </c>
    </row>
    <row r="1113" spans="1:9" hidden="1" x14ac:dyDescent="0.25">
      <c r="A1113" s="114" t="s">
        <v>1297</v>
      </c>
      <c r="B1113" s="115" t="s">
        <v>3216</v>
      </c>
      <c r="C1113" s="116" t="s">
        <v>96</v>
      </c>
      <c r="D1113" s="116">
        <v>0</v>
      </c>
      <c r="E1113" s="136">
        <f ca="1">OFFSET(INDEX(Composições!A:J,MATCH(Orçamentária!A1113,Composições!A:A,0),8),2,0)</f>
        <v>91.851224999999999</v>
      </c>
      <c r="F1113" s="137">
        <f t="shared" ca="1" si="51"/>
        <v>0</v>
      </c>
      <c r="G1113" s="138" t="e">
        <f>IF(A1113&lt;&gt;"",IF(AND(#REF!="Padrão",$H$4=#REF!),BDI!$B$17,IF(AND(#REF!="Padrão",$H$4=#REF!),BDI!#REF!,IF(AND(#REF!="Diferenciado",$H$4=#REF!),BDI!$E$17,IF(AND(#REF!="Diferenciado",$H$4=#REF!),BDI!#REF!,IF(#REF!="ZERO",0))))),"")</f>
        <v>#REF!</v>
      </c>
      <c r="H1113" s="139" t="e">
        <f t="shared" ca="1" si="52"/>
        <v>#REF!</v>
      </c>
      <c r="I1113" s="137" t="e">
        <f t="shared" ca="1" si="53"/>
        <v>#REF!</v>
      </c>
    </row>
    <row r="1114" spans="1:9" hidden="1" x14ac:dyDescent="0.25">
      <c r="A1114" s="114" t="s">
        <v>1300</v>
      </c>
      <c r="B1114" s="115" t="s">
        <v>3217</v>
      </c>
      <c r="C1114" s="116" t="s">
        <v>96</v>
      </c>
      <c r="D1114" s="116">
        <v>0</v>
      </c>
      <c r="E1114" s="136">
        <f ca="1">OFFSET(INDEX(Composições!A:J,MATCH(Orçamentária!A1114,Composições!A:A,0),8),2,0)</f>
        <v>36.249486467477404</v>
      </c>
      <c r="F1114" s="137">
        <f t="shared" ca="1" si="51"/>
        <v>0</v>
      </c>
      <c r="G1114" s="138" t="e">
        <f>IF(A1114&lt;&gt;"",IF(AND(#REF!="Padrão",$H$4=#REF!),BDI!$B$17,IF(AND(#REF!="Padrão",$H$4=#REF!),BDI!#REF!,IF(AND(#REF!="Diferenciado",$H$4=#REF!),BDI!$E$17,IF(AND(#REF!="Diferenciado",$H$4=#REF!),BDI!#REF!,IF(#REF!="ZERO",0))))),"")</f>
        <v>#REF!</v>
      </c>
      <c r="H1114" s="139" t="e">
        <f t="shared" ca="1" si="52"/>
        <v>#REF!</v>
      </c>
      <c r="I1114" s="137" t="e">
        <f t="shared" ca="1" si="53"/>
        <v>#REF!</v>
      </c>
    </row>
    <row r="1115" spans="1:9" hidden="1" x14ac:dyDescent="0.25">
      <c r="A1115" s="114" t="s">
        <v>1302</v>
      </c>
      <c r="B1115" s="115" t="s">
        <v>3218</v>
      </c>
      <c r="C1115" s="116" t="s">
        <v>96</v>
      </c>
      <c r="D1115" s="116">
        <v>0</v>
      </c>
      <c r="E1115" s="136">
        <f ca="1">OFFSET(INDEX(Composições!A:J,MATCH(Orçamentária!A1115,Composições!A:A,0),8),2,0)</f>
        <v>14.677499999999998</v>
      </c>
      <c r="F1115" s="137">
        <f t="shared" ca="1" si="51"/>
        <v>0</v>
      </c>
      <c r="G1115" s="138" t="e">
        <f>IF(A1115&lt;&gt;"",IF(AND(#REF!="Padrão",$H$4=#REF!),BDI!$B$17,IF(AND(#REF!="Padrão",$H$4=#REF!),BDI!#REF!,IF(AND(#REF!="Diferenciado",$H$4=#REF!),BDI!$E$17,IF(AND(#REF!="Diferenciado",$H$4=#REF!),BDI!#REF!,IF(#REF!="ZERO",0))))),"")</f>
        <v>#REF!</v>
      </c>
      <c r="H1115" s="139" t="e">
        <f t="shared" ca="1" si="52"/>
        <v>#REF!</v>
      </c>
      <c r="I1115" s="137" t="e">
        <f t="shared" ca="1" si="53"/>
        <v>#REF!</v>
      </c>
    </row>
    <row r="1116" spans="1:9" hidden="1" x14ac:dyDescent="0.25">
      <c r="A1116" s="114" t="s">
        <v>1304</v>
      </c>
      <c r="B1116" s="115" t="s">
        <v>3219</v>
      </c>
      <c r="C1116" s="116" t="s">
        <v>94</v>
      </c>
      <c r="D1116" s="116">
        <v>0</v>
      </c>
      <c r="E1116" s="136">
        <f ca="1">OFFSET(INDEX(Composições!A:J,MATCH(Orçamentária!A1116,Composições!A:A,0),8),2,0)</f>
        <v>52.225110000000001</v>
      </c>
      <c r="F1116" s="137">
        <f t="shared" ca="1" si="51"/>
        <v>0</v>
      </c>
      <c r="G1116" s="138" t="e">
        <f>IF(A1116&lt;&gt;"",IF(AND(#REF!="Padrão",$H$4=#REF!),BDI!$B$17,IF(AND(#REF!="Padrão",$H$4=#REF!),BDI!#REF!,IF(AND(#REF!="Diferenciado",$H$4=#REF!),BDI!$E$17,IF(AND(#REF!="Diferenciado",$H$4=#REF!),BDI!#REF!,IF(#REF!="ZERO",0))))),"")</f>
        <v>#REF!</v>
      </c>
      <c r="H1116" s="139" t="e">
        <f t="shared" ca="1" si="52"/>
        <v>#REF!</v>
      </c>
      <c r="I1116" s="137" t="e">
        <f t="shared" ca="1" si="53"/>
        <v>#REF!</v>
      </c>
    </row>
    <row r="1117" spans="1:9" hidden="1" x14ac:dyDescent="0.25">
      <c r="A1117" s="114" t="s">
        <v>1306</v>
      </c>
      <c r="B1117" s="115" t="s">
        <v>3220</v>
      </c>
      <c r="C1117" s="116" t="s">
        <v>96</v>
      </c>
      <c r="D1117" s="116">
        <v>0</v>
      </c>
      <c r="E1117" s="136">
        <f ca="1">OFFSET(INDEX(Composições!A:J,MATCH(Orçamentária!A1117,Composições!A:A,0),8),2,0)</f>
        <v>15.597575000000003</v>
      </c>
      <c r="F1117" s="137">
        <f t="shared" ca="1" si="51"/>
        <v>0</v>
      </c>
      <c r="G1117" s="138" t="e">
        <f>IF(A1117&lt;&gt;"",IF(AND(#REF!="Padrão",$H$4=#REF!),BDI!$B$17,IF(AND(#REF!="Padrão",$H$4=#REF!),BDI!#REF!,IF(AND(#REF!="Diferenciado",$H$4=#REF!),BDI!$E$17,IF(AND(#REF!="Diferenciado",$H$4=#REF!),BDI!#REF!,IF(#REF!="ZERO",0))))),"")</f>
        <v>#REF!</v>
      </c>
      <c r="H1117" s="139" t="e">
        <f t="shared" ca="1" si="52"/>
        <v>#REF!</v>
      </c>
      <c r="I1117" s="137" t="e">
        <f t="shared" ca="1" si="53"/>
        <v>#REF!</v>
      </c>
    </row>
    <row r="1118" spans="1:9" hidden="1" x14ac:dyDescent="0.25">
      <c r="A1118" s="114" t="s">
        <v>1309</v>
      </c>
      <c r="B1118" s="115" t="s">
        <v>3221</v>
      </c>
      <c r="C1118" s="116" t="s">
        <v>96</v>
      </c>
      <c r="D1118" s="116">
        <v>0</v>
      </c>
      <c r="E1118" s="136">
        <f ca="1">OFFSET(INDEX(Composições!A:J,MATCH(Orçamentária!A1118,Composições!A:A,0),8),2,0)</f>
        <v>0</v>
      </c>
      <c r="F1118" s="137">
        <f t="shared" ca="1" si="51"/>
        <v>0</v>
      </c>
      <c r="G1118" s="138" t="e">
        <f>IF(A1118&lt;&gt;"",IF(AND(#REF!="Padrão",$H$4=#REF!),BDI!$B$17,IF(AND(#REF!="Padrão",$H$4=#REF!),BDI!#REF!,IF(AND(#REF!="Diferenciado",$H$4=#REF!),BDI!$E$17,IF(AND(#REF!="Diferenciado",$H$4=#REF!),BDI!#REF!,IF(#REF!="ZERO",0))))),"")</f>
        <v>#REF!</v>
      </c>
      <c r="H1118" s="139" t="e">
        <f t="shared" ca="1" si="52"/>
        <v>#REF!</v>
      </c>
      <c r="I1118" s="137" t="e">
        <f t="shared" ca="1" si="53"/>
        <v>#REF!</v>
      </c>
    </row>
    <row r="1119" spans="1:9" hidden="1" x14ac:dyDescent="0.25">
      <c r="A1119" s="114" t="s">
        <v>1311</v>
      </c>
      <c r="B1119" s="115" t="s">
        <v>3222</v>
      </c>
      <c r="C1119" s="116" t="s">
        <v>96</v>
      </c>
      <c r="D1119" s="116">
        <v>0</v>
      </c>
      <c r="E1119" s="136">
        <f ca="1">OFFSET(INDEX(Composições!A:J,MATCH(Orçamentária!A1119,Composições!A:A,0),8),2,0)</f>
        <v>158.54576124999997</v>
      </c>
      <c r="F1119" s="137">
        <f t="shared" ca="1" si="51"/>
        <v>0</v>
      </c>
      <c r="G1119" s="138" t="e">
        <f>IF(A1119&lt;&gt;"",IF(AND(#REF!="Padrão",$H$4=#REF!),BDI!$B$17,IF(AND(#REF!="Padrão",$H$4=#REF!),BDI!#REF!,IF(AND(#REF!="Diferenciado",$H$4=#REF!),BDI!$E$17,IF(AND(#REF!="Diferenciado",$H$4=#REF!),BDI!#REF!,IF(#REF!="ZERO",0))))),"")</f>
        <v>#REF!</v>
      </c>
      <c r="H1119" s="139" t="e">
        <f t="shared" ca="1" si="52"/>
        <v>#REF!</v>
      </c>
      <c r="I1119" s="137" t="e">
        <f t="shared" ca="1" si="53"/>
        <v>#REF!</v>
      </c>
    </row>
    <row r="1120" spans="1:9" hidden="1" x14ac:dyDescent="0.25">
      <c r="A1120" s="114" t="s">
        <v>1314</v>
      </c>
      <c r="B1120" s="115" t="s">
        <v>3223</v>
      </c>
      <c r="C1120" s="116" t="s">
        <v>96</v>
      </c>
      <c r="D1120" s="116">
        <v>0</v>
      </c>
      <c r="E1120" s="136">
        <f ca="1">OFFSET(INDEX(Composições!A:J,MATCH(Orçamentária!A1120,Composições!A:A,0),8),2,0)</f>
        <v>105.53748455</v>
      </c>
      <c r="F1120" s="137">
        <f t="shared" ca="1" si="51"/>
        <v>0</v>
      </c>
      <c r="G1120" s="138" t="e">
        <f>IF(A1120&lt;&gt;"",IF(AND(#REF!="Padrão",$H$4=#REF!),BDI!$B$17,IF(AND(#REF!="Padrão",$H$4=#REF!),BDI!#REF!,IF(AND(#REF!="Diferenciado",$H$4=#REF!),BDI!$E$17,IF(AND(#REF!="Diferenciado",$H$4=#REF!),BDI!#REF!,IF(#REF!="ZERO",0))))),"")</f>
        <v>#REF!</v>
      </c>
      <c r="H1120" s="139" t="e">
        <f t="shared" ca="1" si="52"/>
        <v>#REF!</v>
      </c>
      <c r="I1120" s="137" t="e">
        <f t="shared" ca="1" si="53"/>
        <v>#REF!</v>
      </c>
    </row>
    <row r="1121" spans="1:9" hidden="1" x14ac:dyDescent="0.25">
      <c r="A1121" s="114" t="s">
        <v>1315</v>
      </c>
      <c r="B1121" s="115" t="s">
        <v>3224</v>
      </c>
      <c r="C1121" s="116" t="s">
        <v>96</v>
      </c>
      <c r="D1121" s="116">
        <v>0</v>
      </c>
      <c r="E1121" s="136">
        <f ca="1">OFFSET(INDEX(Composições!A:J,MATCH(Orçamentária!A1121,Composições!A:A,0),8),2,0)</f>
        <v>14.207456529999998</v>
      </c>
      <c r="F1121" s="137">
        <f t="shared" ca="1" si="51"/>
        <v>0</v>
      </c>
      <c r="G1121" s="138" t="e">
        <f>IF(A1121&lt;&gt;"",IF(AND(#REF!="Padrão",$H$4=#REF!),BDI!$B$17,IF(AND(#REF!="Padrão",$H$4=#REF!),BDI!#REF!,IF(AND(#REF!="Diferenciado",$H$4=#REF!),BDI!$E$17,IF(AND(#REF!="Diferenciado",$H$4=#REF!),BDI!#REF!,IF(#REF!="ZERO",0))))),"")</f>
        <v>#REF!</v>
      </c>
      <c r="H1121" s="139" t="e">
        <f t="shared" ca="1" si="52"/>
        <v>#REF!</v>
      </c>
      <c r="I1121" s="137" t="e">
        <f t="shared" ca="1" si="53"/>
        <v>#REF!</v>
      </c>
    </row>
    <row r="1122" spans="1:9" hidden="1" x14ac:dyDescent="0.25">
      <c r="A1122" s="114" t="s">
        <v>1317</v>
      </c>
      <c r="B1122" s="115" t="s">
        <v>3225</v>
      </c>
      <c r="C1122" s="116" t="s">
        <v>96</v>
      </c>
      <c r="D1122" s="116">
        <v>0</v>
      </c>
      <c r="E1122" s="136">
        <f ca="1">OFFSET(INDEX(Composições!A:J,MATCH(Orçamentária!A1122,Composições!A:A,0),8),2,0)</f>
        <v>8.1618300000000001</v>
      </c>
      <c r="F1122" s="137">
        <f t="shared" ca="1" si="51"/>
        <v>0</v>
      </c>
      <c r="G1122" s="138" t="e">
        <f>IF(A1122&lt;&gt;"",IF(AND(#REF!="Padrão",$H$4=#REF!),BDI!$B$17,IF(AND(#REF!="Padrão",$H$4=#REF!),BDI!#REF!,IF(AND(#REF!="Diferenciado",$H$4=#REF!),BDI!$E$17,IF(AND(#REF!="Diferenciado",$H$4=#REF!),BDI!#REF!,IF(#REF!="ZERO",0))))),"")</f>
        <v>#REF!</v>
      </c>
      <c r="H1122" s="139" t="e">
        <f t="shared" ca="1" si="52"/>
        <v>#REF!</v>
      </c>
      <c r="I1122" s="137" t="e">
        <f t="shared" ca="1" si="53"/>
        <v>#REF!</v>
      </c>
    </row>
    <row r="1123" spans="1:9" hidden="1" x14ac:dyDescent="0.25">
      <c r="A1123" s="114" t="s">
        <v>1319</v>
      </c>
      <c r="B1123" s="115" t="s">
        <v>3226</v>
      </c>
      <c r="C1123" s="116" t="s">
        <v>96</v>
      </c>
      <c r="D1123" s="116">
        <v>0</v>
      </c>
      <c r="E1123" s="136">
        <f ca="1">OFFSET(INDEX(Composições!A:J,MATCH(Orçamentária!A1123,Composições!A:A,0),8),2,0)</f>
        <v>8.1618300000000001</v>
      </c>
      <c r="F1123" s="137">
        <f t="shared" ca="1" si="51"/>
        <v>0</v>
      </c>
      <c r="G1123" s="138" t="e">
        <f>IF(A1123&lt;&gt;"",IF(AND(#REF!="Padrão",$H$4=#REF!),BDI!$B$17,IF(AND(#REF!="Padrão",$H$4=#REF!),BDI!#REF!,IF(AND(#REF!="Diferenciado",$H$4=#REF!),BDI!$E$17,IF(AND(#REF!="Diferenciado",$H$4=#REF!),BDI!#REF!,IF(#REF!="ZERO",0))))),"")</f>
        <v>#REF!</v>
      </c>
      <c r="H1123" s="139" t="e">
        <f t="shared" ca="1" si="52"/>
        <v>#REF!</v>
      </c>
      <c r="I1123" s="137" t="e">
        <f t="shared" ca="1" si="53"/>
        <v>#REF!</v>
      </c>
    </row>
    <row r="1124" spans="1:9" hidden="1" x14ac:dyDescent="0.25">
      <c r="A1124" s="114" t="s">
        <v>1321</v>
      </c>
      <c r="B1124" s="115" t="s">
        <v>3227</v>
      </c>
      <c r="C1124" s="116" t="s">
        <v>96</v>
      </c>
      <c r="D1124" s="116">
        <v>0</v>
      </c>
      <c r="E1124" s="136">
        <f ca="1">OFFSET(INDEX(Composições!A:J,MATCH(Orçamentária!A1124,Composições!A:A,0),8),2,0)</f>
        <v>33.537937399999997</v>
      </c>
      <c r="F1124" s="137">
        <f t="shared" ca="1" si="51"/>
        <v>0</v>
      </c>
      <c r="G1124" s="138" t="e">
        <f>IF(A1124&lt;&gt;"",IF(AND(#REF!="Padrão",$H$4=#REF!),BDI!$B$17,IF(AND(#REF!="Padrão",$H$4=#REF!),BDI!#REF!,IF(AND(#REF!="Diferenciado",$H$4=#REF!),BDI!$E$17,IF(AND(#REF!="Diferenciado",$H$4=#REF!),BDI!#REF!,IF(#REF!="ZERO",0))))),"")</f>
        <v>#REF!</v>
      </c>
      <c r="H1124" s="139" t="e">
        <f t="shared" ca="1" si="52"/>
        <v>#REF!</v>
      </c>
      <c r="I1124" s="137" t="e">
        <f t="shared" ca="1" si="53"/>
        <v>#REF!</v>
      </c>
    </row>
    <row r="1125" spans="1:9" hidden="1" x14ac:dyDescent="0.25">
      <c r="A1125" s="114" t="s">
        <v>1326</v>
      </c>
      <c r="B1125" s="115" t="s">
        <v>3228</v>
      </c>
      <c r="C1125" s="116" t="s">
        <v>96</v>
      </c>
      <c r="D1125" s="116">
        <v>0</v>
      </c>
      <c r="E1125" s="136">
        <f ca="1">OFFSET(INDEX(Composições!A:J,MATCH(Orçamentária!A1125,Composições!A:A,0),8),2,0)</f>
        <v>12.2018475</v>
      </c>
      <c r="F1125" s="137">
        <f t="shared" ca="1" si="51"/>
        <v>0</v>
      </c>
      <c r="G1125" s="138" t="e">
        <f>IF(A1125&lt;&gt;"",IF(AND(#REF!="Padrão",$H$4=#REF!),BDI!$B$17,IF(AND(#REF!="Padrão",$H$4=#REF!),BDI!#REF!,IF(AND(#REF!="Diferenciado",$H$4=#REF!),BDI!$E$17,IF(AND(#REF!="Diferenciado",$H$4=#REF!),BDI!#REF!,IF(#REF!="ZERO",0))))),"")</f>
        <v>#REF!</v>
      </c>
      <c r="H1125" s="139" t="e">
        <f t="shared" ca="1" si="52"/>
        <v>#REF!</v>
      </c>
      <c r="I1125" s="137" t="e">
        <f t="shared" ca="1" si="53"/>
        <v>#REF!</v>
      </c>
    </row>
    <row r="1126" spans="1:9" hidden="1" x14ac:dyDescent="0.25">
      <c r="A1126" s="114" t="s">
        <v>1328</v>
      </c>
      <c r="B1126" s="115" t="s">
        <v>3229</v>
      </c>
      <c r="C1126" s="116" t="s">
        <v>96</v>
      </c>
      <c r="D1126" s="116">
        <v>0</v>
      </c>
      <c r="E1126" s="136">
        <f ca="1">OFFSET(INDEX(Composições!A:J,MATCH(Orçamentária!A1126,Composições!A:A,0),8),2,0)</f>
        <v>12.728755499999998</v>
      </c>
      <c r="F1126" s="137">
        <f t="shared" ca="1" si="51"/>
        <v>0</v>
      </c>
      <c r="G1126" s="138" t="e">
        <f>IF(A1126&lt;&gt;"",IF(AND(#REF!="Padrão",$H$4=#REF!),BDI!$B$17,IF(AND(#REF!="Padrão",$H$4=#REF!),BDI!#REF!,IF(AND(#REF!="Diferenciado",$H$4=#REF!),BDI!$E$17,IF(AND(#REF!="Diferenciado",$H$4=#REF!),BDI!#REF!,IF(#REF!="ZERO",0))))),"")</f>
        <v>#REF!</v>
      </c>
      <c r="H1126" s="139" t="e">
        <f t="shared" ca="1" si="52"/>
        <v>#REF!</v>
      </c>
      <c r="I1126" s="137" t="e">
        <f t="shared" ca="1" si="53"/>
        <v>#REF!</v>
      </c>
    </row>
    <row r="1127" spans="1:9" hidden="1" x14ac:dyDescent="0.25">
      <c r="A1127" s="114" t="s">
        <v>1331</v>
      </c>
      <c r="B1127" s="115" t="s">
        <v>3230</v>
      </c>
      <c r="C1127" s="116" t="s">
        <v>96</v>
      </c>
      <c r="D1127" s="116">
        <v>0</v>
      </c>
      <c r="E1127" s="136" t="s">
        <v>572</v>
      </c>
      <c r="F1127" s="137" t="str">
        <f t="shared" si="51"/>
        <v/>
      </c>
      <c r="G1127" s="138" t="e">
        <f>IF(A1127&lt;&gt;"",IF(AND(#REF!="Padrão",$H$4=#REF!),BDI!$B$17,IF(AND(#REF!="Padrão",$H$4=#REF!),BDI!#REF!,IF(AND(#REF!="Diferenciado",$H$4=#REF!),BDI!$E$17,IF(AND(#REF!="Diferenciado",$H$4=#REF!),BDI!#REF!,IF(#REF!="ZERO",0))))),"")</f>
        <v>#REF!</v>
      </c>
      <c r="H1127" s="139" t="str">
        <f t="shared" si="52"/>
        <v/>
      </c>
      <c r="I1127" s="137" t="str">
        <f t="shared" si="53"/>
        <v/>
      </c>
    </row>
    <row r="1128" spans="1:9" hidden="1" x14ac:dyDescent="0.25">
      <c r="A1128" s="114" t="s">
        <v>1332</v>
      </c>
      <c r="B1128" s="115" t="s">
        <v>3231</v>
      </c>
      <c r="C1128" s="116" t="s">
        <v>96</v>
      </c>
      <c r="D1128" s="116">
        <v>0</v>
      </c>
      <c r="E1128" s="136">
        <f ca="1">OFFSET(INDEX(Composições!A:J,MATCH(Orçamentária!A1128,Composições!A:A,0),8),2,0)</f>
        <v>14.317925000000001</v>
      </c>
      <c r="F1128" s="137">
        <f t="shared" ca="1" si="51"/>
        <v>0</v>
      </c>
      <c r="G1128" s="138" t="e">
        <f>IF(A1128&lt;&gt;"",IF(AND(#REF!="Padrão",$H$4=#REF!),BDI!$B$17,IF(AND(#REF!="Padrão",$H$4=#REF!),BDI!#REF!,IF(AND(#REF!="Diferenciado",$H$4=#REF!),BDI!$E$17,IF(AND(#REF!="Diferenciado",$H$4=#REF!),BDI!#REF!,IF(#REF!="ZERO",0))))),"")</f>
        <v>#REF!</v>
      </c>
      <c r="H1128" s="139" t="e">
        <f t="shared" ca="1" si="52"/>
        <v>#REF!</v>
      </c>
      <c r="I1128" s="137" t="e">
        <f t="shared" ca="1" si="53"/>
        <v>#REF!</v>
      </c>
    </row>
    <row r="1129" spans="1:9" hidden="1" x14ac:dyDescent="0.25">
      <c r="A1129" s="114" t="s">
        <v>1333</v>
      </c>
      <c r="B1129" s="115" t="s">
        <v>3232</v>
      </c>
      <c r="C1129" s="116" t="s">
        <v>96</v>
      </c>
      <c r="D1129" s="116">
        <v>0</v>
      </c>
      <c r="E1129" s="136">
        <f ca="1">OFFSET(INDEX(Composições!A:J,MATCH(Orçamentária!A1129,Composições!A:A,0),8),2,0)</f>
        <v>56.399972399999996</v>
      </c>
      <c r="F1129" s="137">
        <f t="shared" ca="1" si="51"/>
        <v>0</v>
      </c>
      <c r="G1129" s="138" t="e">
        <f>IF(A1129&lt;&gt;"",IF(AND(#REF!="Padrão",$H$4=#REF!),BDI!$B$17,IF(AND(#REF!="Padrão",$H$4=#REF!),BDI!#REF!,IF(AND(#REF!="Diferenciado",$H$4=#REF!),BDI!$E$17,IF(AND(#REF!="Diferenciado",$H$4=#REF!),BDI!#REF!,IF(#REF!="ZERO",0))))),"")</f>
        <v>#REF!</v>
      </c>
      <c r="H1129" s="139" t="e">
        <f t="shared" ca="1" si="52"/>
        <v>#REF!</v>
      </c>
      <c r="I1129" s="137" t="e">
        <f t="shared" ca="1" si="53"/>
        <v>#REF!</v>
      </c>
    </row>
    <row r="1130" spans="1:9" hidden="1" x14ac:dyDescent="0.25">
      <c r="A1130" s="114" t="s">
        <v>1336</v>
      </c>
      <c r="B1130" s="115" t="s">
        <v>3233</v>
      </c>
      <c r="C1130" s="116" t="s">
        <v>96</v>
      </c>
      <c r="D1130" s="116">
        <v>0</v>
      </c>
      <c r="E1130" s="136">
        <f ca="1">OFFSET(INDEX(Composições!A:J,MATCH(Orçamentária!A1130,Composições!A:A,0),8),2,0)</f>
        <v>19.004645500000002</v>
      </c>
      <c r="F1130" s="137">
        <f t="shared" ca="1" si="51"/>
        <v>0</v>
      </c>
      <c r="G1130" s="138" t="e">
        <f>IF(A1130&lt;&gt;"",IF(AND(#REF!="Padrão",$H$4=#REF!),BDI!$B$17,IF(AND(#REF!="Padrão",$H$4=#REF!),BDI!#REF!,IF(AND(#REF!="Diferenciado",$H$4=#REF!),BDI!$E$17,IF(AND(#REF!="Diferenciado",$H$4=#REF!),BDI!#REF!,IF(#REF!="ZERO",0))))),"")</f>
        <v>#REF!</v>
      </c>
      <c r="H1130" s="139" t="e">
        <f t="shared" ca="1" si="52"/>
        <v>#REF!</v>
      </c>
      <c r="I1130" s="137" t="e">
        <f t="shared" ca="1" si="53"/>
        <v>#REF!</v>
      </c>
    </row>
    <row r="1131" spans="1:9" hidden="1" x14ac:dyDescent="0.25">
      <c r="A1131" s="114" t="s">
        <v>1340</v>
      </c>
      <c r="B1131" s="115" t="s">
        <v>3234</v>
      </c>
      <c r="C1131" s="116" t="s">
        <v>96</v>
      </c>
      <c r="D1131" s="116">
        <v>0</v>
      </c>
      <c r="E1131" s="136">
        <f ca="1">OFFSET(INDEX(Composições!A:J,MATCH(Orçamentária!A1131,Composições!A:A,0),8),2,0)</f>
        <v>1.1254935000000001</v>
      </c>
      <c r="F1131" s="137">
        <f t="shared" ca="1" si="51"/>
        <v>0</v>
      </c>
      <c r="G1131" s="138" t="e">
        <f>IF(A1131&lt;&gt;"",IF(AND(#REF!="Padrão",$H$4=#REF!),BDI!$B$17,IF(AND(#REF!="Padrão",$H$4=#REF!),BDI!#REF!,IF(AND(#REF!="Diferenciado",$H$4=#REF!),BDI!$E$17,IF(AND(#REF!="Diferenciado",$H$4=#REF!),BDI!#REF!,IF(#REF!="ZERO",0))))),"")</f>
        <v>#REF!</v>
      </c>
      <c r="H1131" s="139" t="e">
        <f t="shared" ca="1" si="52"/>
        <v>#REF!</v>
      </c>
      <c r="I1131" s="137" t="e">
        <f t="shared" ca="1" si="53"/>
        <v>#REF!</v>
      </c>
    </row>
    <row r="1132" spans="1:9" hidden="1" x14ac:dyDescent="0.25">
      <c r="A1132" s="114" t="s">
        <v>1342</v>
      </c>
      <c r="B1132" s="115" t="s">
        <v>3235</v>
      </c>
      <c r="C1132" s="116" t="s">
        <v>96</v>
      </c>
      <c r="D1132" s="116">
        <v>0</v>
      </c>
      <c r="E1132" s="136">
        <f ca="1">OFFSET(INDEX(Composições!A:J,MATCH(Orçamentária!A1132,Composições!A:A,0),8),2,0)</f>
        <v>20.710909149999999</v>
      </c>
      <c r="F1132" s="137">
        <f t="shared" ca="1" si="51"/>
        <v>0</v>
      </c>
      <c r="G1132" s="138" t="e">
        <f>IF(A1132&lt;&gt;"",IF(AND(#REF!="Padrão",$H$4=#REF!),BDI!$B$17,IF(AND(#REF!="Padrão",$H$4=#REF!),BDI!#REF!,IF(AND(#REF!="Diferenciado",$H$4=#REF!),BDI!$E$17,IF(AND(#REF!="Diferenciado",$H$4=#REF!),BDI!#REF!,IF(#REF!="ZERO",0))))),"")</f>
        <v>#REF!</v>
      </c>
      <c r="H1132" s="139" t="e">
        <f t="shared" ca="1" si="52"/>
        <v>#REF!</v>
      </c>
      <c r="I1132" s="137" t="e">
        <f t="shared" ca="1" si="53"/>
        <v>#REF!</v>
      </c>
    </row>
    <row r="1133" spans="1:9" hidden="1" x14ac:dyDescent="0.25">
      <c r="A1133" s="114" t="s">
        <v>1347</v>
      </c>
      <c r="B1133" s="115" t="s">
        <v>3236</v>
      </c>
      <c r="C1133" s="116" t="s">
        <v>94</v>
      </c>
      <c r="D1133" s="116">
        <v>0</v>
      </c>
      <c r="E1133" s="136">
        <f ca="1">OFFSET(INDEX(Composições!A:J,MATCH(Orçamentária!A1133,Composições!A:A,0),8),2,0)</f>
        <v>7.8848527499999994</v>
      </c>
      <c r="F1133" s="137">
        <f t="shared" ca="1" si="51"/>
        <v>0</v>
      </c>
      <c r="G1133" s="138" t="e">
        <f>IF(A1133&lt;&gt;"",IF(AND(#REF!="Padrão",$H$4=#REF!),BDI!$B$17,IF(AND(#REF!="Padrão",$H$4=#REF!),BDI!#REF!,IF(AND(#REF!="Diferenciado",$H$4=#REF!),BDI!$E$17,IF(AND(#REF!="Diferenciado",$H$4=#REF!),BDI!#REF!,IF(#REF!="ZERO",0))))),"")</f>
        <v>#REF!</v>
      </c>
      <c r="H1133" s="139" t="e">
        <f t="shared" ca="1" si="52"/>
        <v>#REF!</v>
      </c>
      <c r="I1133" s="137" t="e">
        <f t="shared" ca="1" si="53"/>
        <v>#REF!</v>
      </c>
    </row>
    <row r="1134" spans="1:9" hidden="1" x14ac:dyDescent="0.25">
      <c r="A1134" s="114" t="s">
        <v>1353</v>
      </c>
      <c r="B1134" s="115" t="s">
        <v>3237</v>
      </c>
      <c r="C1134" s="116" t="s">
        <v>96</v>
      </c>
      <c r="D1134" s="116">
        <v>0</v>
      </c>
      <c r="E1134" s="136">
        <f ca="1">OFFSET(INDEX(Composições!A:J,MATCH(Orçamentária!A1134,Composições!A:A,0),8),2,0)</f>
        <v>53.751169760819977</v>
      </c>
      <c r="F1134" s="137">
        <f t="shared" ca="1" si="51"/>
        <v>0</v>
      </c>
      <c r="G1134" s="138" t="e">
        <f>IF(A1134&lt;&gt;"",IF(AND(#REF!="Padrão",$H$4=#REF!),BDI!$B$17,IF(AND(#REF!="Padrão",$H$4=#REF!),BDI!#REF!,IF(AND(#REF!="Diferenciado",$H$4=#REF!),BDI!$E$17,IF(AND(#REF!="Diferenciado",$H$4=#REF!),BDI!#REF!,IF(#REF!="ZERO",0))))),"")</f>
        <v>#REF!</v>
      </c>
      <c r="H1134" s="139" t="e">
        <f t="shared" ca="1" si="52"/>
        <v>#REF!</v>
      </c>
      <c r="I1134" s="137" t="e">
        <f t="shared" ca="1" si="53"/>
        <v>#REF!</v>
      </c>
    </row>
    <row r="1135" spans="1:9" hidden="1" x14ac:dyDescent="0.25">
      <c r="A1135" s="114" t="s">
        <v>1361</v>
      </c>
      <c r="B1135" s="115" t="s">
        <v>3238</v>
      </c>
      <c r="C1135" s="116" t="s">
        <v>112</v>
      </c>
      <c r="D1135" s="116">
        <v>0</v>
      </c>
      <c r="E1135" s="136">
        <f ca="1">OFFSET(INDEX(Composições!A:J,MATCH(Orçamentária!A1135,Composições!A:A,0),8),2,0)</f>
        <v>644.32411655200008</v>
      </c>
      <c r="F1135" s="137">
        <f t="shared" ca="1" si="51"/>
        <v>0</v>
      </c>
      <c r="G1135" s="138" t="e">
        <f>IF(A1135&lt;&gt;"",IF(AND(#REF!="Padrão",$H$4=#REF!),BDI!$B$17,IF(AND(#REF!="Padrão",$H$4=#REF!),BDI!#REF!,IF(AND(#REF!="Diferenciado",$H$4=#REF!),BDI!$E$17,IF(AND(#REF!="Diferenciado",$H$4=#REF!),BDI!#REF!,IF(#REF!="ZERO",0))))),"")</f>
        <v>#REF!</v>
      </c>
      <c r="H1135" s="139" t="e">
        <f t="shared" ca="1" si="52"/>
        <v>#REF!</v>
      </c>
      <c r="I1135" s="137" t="e">
        <f t="shared" ca="1" si="53"/>
        <v>#REF!</v>
      </c>
    </row>
    <row r="1136" spans="1:9" hidden="1" x14ac:dyDescent="0.25">
      <c r="A1136" s="114" t="s">
        <v>1380</v>
      </c>
      <c r="B1136" s="115" t="s">
        <v>3239</v>
      </c>
      <c r="C1136" s="116" t="s">
        <v>112</v>
      </c>
      <c r="D1136" s="116">
        <v>0</v>
      </c>
      <c r="E1136" s="136">
        <f ca="1">OFFSET(INDEX(Composições!A:J,MATCH(Orçamentária!A1136,Composições!A:A,0),8),2,0)</f>
        <v>195.73800000000003</v>
      </c>
      <c r="F1136" s="137">
        <f t="shared" ca="1" si="51"/>
        <v>0</v>
      </c>
      <c r="G1136" s="138" t="e">
        <f>IF(A1136&lt;&gt;"",IF(AND(#REF!="Padrão",$H$4=#REF!),BDI!$B$17,IF(AND(#REF!="Padrão",$H$4=#REF!),BDI!#REF!,IF(AND(#REF!="Diferenciado",$H$4=#REF!),BDI!$E$17,IF(AND(#REF!="Diferenciado",$H$4=#REF!),BDI!#REF!,IF(#REF!="ZERO",0))))),"")</f>
        <v>#REF!</v>
      </c>
      <c r="H1136" s="139" t="e">
        <f t="shared" ca="1" si="52"/>
        <v>#REF!</v>
      </c>
      <c r="I1136" s="137" t="e">
        <f t="shared" ca="1" si="53"/>
        <v>#REF!</v>
      </c>
    </row>
    <row r="1137" spans="1:9" hidden="1" x14ac:dyDescent="0.25">
      <c r="A1137" s="114" t="s">
        <v>1384</v>
      </c>
      <c r="B1137" s="115" t="s">
        <v>3240</v>
      </c>
      <c r="C1137" s="116" t="s">
        <v>96</v>
      </c>
      <c r="D1137" s="116">
        <v>0</v>
      </c>
      <c r="E1137" s="136">
        <f ca="1">OFFSET(INDEX(Composições!A:J,MATCH(Orçamentária!A1137,Composições!A:A,0),8),2,0)</f>
        <v>15.290722150000001</v>
      </c>
      <c r="F1137" s="137">
        <f t="shared" ca="1" si="51"/>
        <v>0</v>
      </c>
      <c r="G1137" s="138" t="e">
        <f>IF(A1137&lt;&gt;"",IF(AND(#REF!="Padrão",$H$4=#REF!),BDI!$B$17,IF(AND(#REF!="Padrão",$H$4=#REF!),BDI!#REF!,IF(AND(#REF!="Diferenciado",$H$4=#REF!),BDI!$E$17,IF(AND(#REF!="Diferenciado",$H$4=#REF!),BDI!#REF!,IF(#REF!="ZERO",0))))),"")</f>
        <v>#REF!</v>
      </c>
      <c r="H1137" s="139" t="e">
        <f t="shared" ca="1" si="52"/>
        <v>#REF!</v>
      </c>
      <c r="I1137" s="137" t="e">
        <f t="shared" ca="1" si="53"/>
        <v>#REF!</v>
      </c>
    </row>
    <row r="1138" spans="1:9" hidden="1" x14ac:dyDescent="0.25">
      <c r="A1138" s="114" t="s">
        <v>1389</v>
      </c>
      <c r="B1138" s="115" t="s">
        <v>3241</v>
      </c>
      <c r="C1138" s="116" t="s">
        <v>96</v>
      </c>
      <c r="D1138" s="116">
        <v>0</v>
      </c>
      <c r="E1138" s="136">
        <f ca="1">OFFSET(INDEX(Composições!A:J,MATCH(Orçamentária!A1138,Composições!A:A,0),8),2,0)</f>
        <v>77.59594869999998</v>
      </c>
      <c r="F1138" s="137">
        <f t="shared" ca="1" si="51"/>
        <v>0</v>
      </c>
      <c r="G1138" s="138" t="e">
        <f>IF(A1138&lt;&gt;"",IF(AND(#REF!="Padrão",$H$4=#REF!),BDI!$B$17,IF(AND(#REF!="Padrão",$H$4=#REF!),BDI!#REF!,IF(AND(#REF!="Diferenciado",$H$4=#REF!),BDI!$E$17,IF(AND(#REF!="Diferenciado",$H$4=#REF!),BDI!#REF!,IF(#REF!="ZERO",0))))),"")</f>
        <v>#REF!</v>
      </c>
      <c r="H1138" s="139" t="e">
        <f t="shared" ca="1" si="52"/>
        <v>#REF!</v>
      </c>
      <c r="I1138" s="137" t="e">
        <f t="shared" ca="1" si="53"/>
        <v>#REF!</v>
      </c>
    </row>
    <row r="1139" spans="1:9" hidden="1" x14ac:dyDescent="0.25">
      <c r="A1139" s="114" t="s">
        <v>1394</v>
      </c>
      <c r="B1139" s="115" t="s">
        <v>3242</v>
      </c>
      <c r="C1139" s="116" t="s">
        <v>94</v>
      </c>
      <c r="D1139" s="116">
        <v>0</v>
      </c>
      <c r="E1139" s="136">
        <f ca="1">OFFSET(INDEX(Composições!A:J,MATCH(Orçamentária!A1139,Composições!A:A,0),8),2,0)</f>
        <v>8.2298899000000016</v>
      </c>
      <c r="F1139" s="137">
        <f t="shared" ca="1" si="51"/>
        <v>0</v>
      </c>
      <c r="G1139" s="138" t="e">
        <f>IF(A1139&lt;&gt;"",IF(AND(#REF!="Padrão",$H$4=#REF!),BDI!$B$17,IF(AND(#REF!="Padrão",$H$4=#REF!),BDI!#REF!,IF(AND(#REF!="Diferenciado",$H$4=#REF!),BDI!$E$17,IF(AND(#REF!="Diferenciado",$H$4=#REF!),BDI!#REF!,IF(#REF!="ZERO",0))))),"")</f>
        <v>#REF!</v>
      </c>
      <c r="H1139" s="139" t="e">
        <f t="shared" ca="1" si="52"/>
        <v>#REF!</v>
      </c>
      <c r="I1139" s="137" t="e">
        <f t="shared" ca="1" si="53"/>
        <v>#REF!</v>
      </c>
    </row>
    <row r="1140" spans="1:9" hidden="1" x14ac:dyDescent="0.25">
      <c r="A1140" s="114" t="s">
        <v>1395</v>
      </c>
      <c r="B1140" s="115" t="s">
        <v>3243</v>
      </c>
      <c r="C1140" s="116" t="s">
        <v>96</v>
      </c>
      <c r="D1140" s="116">
        <v>0</v>
      </c>
      <c r="E1140" s="136">
        <f ca="1">OFFSET(INDEX(Composições!A:J,MATCH(Orçamentária!A1140,Composições!A:A,0),8),2,0)</f>
        <v>9.3062436999999996</v>
      </c>
      <c r="F1140" s="137">
        <f t="shared" ca="1" si="51"/>
        <v>0</v>
      </c>
      <c r="G1140" s="138" t="e">
        <f>IF(A1140&lt;&gt;"",IF(AND(#REF!="Padrão",$H$4=#REF!),BDI!$B$17,IF(AND(#REF!="Padrão",$H$4=#REF!),BDI!#REF!,IF(AND(#REF!="Diferenciado",$H$4=#REF!),BDI!$E$17,IF(AND(#REF!="Diferenciado",$H$4=#REF!),BDI!#REF!,IF(#REF!="ZERO",0))))),"")</f>
        <v>#REF!</v>
      </c>
      <c r="H1140" s="139" t="e">
        <f t="shared" ca="1" si="52"/>
        <v>#REF!</v>
      </c>
      <c r="I1140" s="137" t="e">
        <f t="shared" ca="1" si="53"/>
        <v>#REF!</v>
      </c>
    </row>
    <row r="1141" spans="1:9" hidden="1" x14ac:dyDescent="0.25">
      <c r="A1141" s="114" t="s">
        <v>1397</v>
      </c>
      <c r="B1141" s="115" t="s">
        <v>3244</v>
      </c>
      <c r="C1141" s="116" t="s">
        <v>94</v>
      </c>
      <c r="D1141" s="116">
        <v>0</v>
      </c>
      <c r="E1141" s="136">
        <f ca="1">OFFSET(INDEX(Composições!A:J,MATCH(Orçamentária!A1141,Composições!A:A,0),8),2,0)</f>
        <v>8.2298899000000016</v>
      </c>
      <c r="F1141" s="137">
        <f t="shared" ca="1" si="51"/>
        <v>0</v>
      </c>
      <c r="G1141" s="138" t="e">
        <f>IF(A1141&lt;&gt;"",IF(AND(#REF!="Padrão",$H$4=#REF!),BDI!$B$17,IF(AND(#REF!="Padrão",$H$4=#REF!),BDI!#REF!,IF(AND(#REF!="Diferenciado",$H$4=#REF!),BDI!$E$17,IF(AND(#REF!="Diferenciado",$H$4=#REF!),BDI!#REF!,IF(#REF!="ZERO",0))))),"")</f>
        <v>#REF!</v>
      </c>
      <c r="H1141" s="139" t="e">
        <f t="shared" ca="1" si="52"/>
        <v>#REF!</v>
      </c>
      <c r="I1141" s="137" t="e">
        <f t="shared" ca="1" si="53"/>
        <v>#REF!</v>
      </c>
    </row>
    <row r="1142" spans="1:9" hidden="1" x14ac:dyDescent="0.25">
      <c r="A1142" s="114" t="s">
        <v>1398</v>
      </c>
      <c r="B1142" s="115" t="s">
        <v>3245</v>
      </c>
      <c r="C1142" s="116" t="s">
        <v>96</v>
      </c>
      <c r="D1142" s="116">
        <v>0</v>
      </c>
      <c r="E1142" s="136">
        <f ca="1">OFFSET(INDEX(Composições!A:J,MATCH(Orçamentária!A1142,Composições!A:A,0),8),2,0)</f>
        <v>16.79505</v>
      </c>
      <c r="F1142" s="137">
        <f t="shared" ca="1" si="51"/>
        <v>0</v>
      </c>
      <c r="G1142" s="138" t="e">
        <f>IF(A1142&lt;&gt;"",IF(AND(#REF!="Padrão",$H$4=#REF!),BDI!$B$17,IF(AND(#REF!="Padrão",$H$4=#REF!),BDI!#REF!,IF(AND(#REF!="Diferenciado",$H$4=#REF!),BDI!$E$17,IF(AND(#REF!="Diferenciado",$H$4=#REF!),BDI!#REF!,IF(#REF!="ZERO",0))))),"")</f>
        <v>#REF!</v>
      </c>
      <c r="H1142" s="139" t="e">
        <f t="shared" ca="1" si="52"/>
        <v>#REF!</v>
      </c>
      <c r="I1142" s="137" t="e">
        <f t="shared" ca="1" si="53"/>
        <v>#REF!</v>
      </c>
    </row>
    <row r="1143" spans="1:9" ht="25.5" hidden="1" x14ac:dyDescent="0.25">
      <c r="A1143" s="114" t="s">
        <v>1404</v>
      </c>
      <c r="B1143" s="115" t="s">
        <v>3246</v>
      </c>
      <c r="C1143" s="116" t="s">
        <v>94</v>
      </c>
      <c r="D1143" s="116">
        <v>0</v>
      </c>
      <c r="E1143" s="136">
        <f ca="1">OFFSET(INDEX(Composições!A:J,MATCH(Orçamentária!A1143,Composições!A:A,0),8),2,0)</f>
        <v>2.3803200000000002</v>
      </c>
      <c r="F1143" s="137">
        <f t="shared" ca="1" si="51"/>
        <v>0</v>
      </c>
      <c r="G1143" s="138" t="e">
        <f>IF(A1143&lt;&gt;"",IF(AND(#REF!="Padrão",$H$4=#REF!),BDI!$B$17,IF(AND(#REF!="Padrão",$H$4=#REF!),BDI!#REF!,IF(AND(#REF!="Diferenciado",$H$4=#REF!),BDI!$E$17,IF(AND(#REF!="Diferenciado",$H$4=#REF!),BDI!#REF!,IF(#REF!="ZERO",0))))),"")</f>
        <v>#REF!</v>
      </c>
      <c r="H1143" s="139" t="e">
        <f t="shared" ca="1" si="52"/>
        <v>#REF!</v>
      </c>
      <c r="I1143" s="137" t="e">
        <f t="shared" ca="1" si="53"/>
        <v>#REF!</v>
      </c>
    </row>
    <row r="1144" spans="1:9" hidden="1" x14ac:dyDescent="0.25">
      <c r="A1144" s="114" t="s">
        <v>1406</v>
      </c>
      <c r="B1144" s="115" t="s">
        <v>3247</v>
      </c>
      <c r="C1144" s="116" t="s">
        <v>94</v>
      </c>
      <c r="D1144" s="116">
        <v>0</v>
      </c>
      <c r="E1144" s="136">
        <f ca="1">OFFSET(INDEX(Composições!A:J,MATCH(Orçamentária!A1144,Composições!A:A,0),8),2,0)</f>
        <v>2.3803200000000002</v>
      </c>
      <c r="F1144" s="137">
        <f t="shared" ca="1" si="51"/>
        <v>0</v>
      </c>
      <c r="G1144" s="138" t="e">
        <f>IF(A1144&lt;&gt;"",IF(AND(#REF!="Padrão",$H$4=#REF!),BDI!$B$17,IF(AND(#REF!="Padrão",$H$4=#REF!),BDI!#REF!,IF(AND(#REF!="Diferenciado",$H$4=#REF!),BDI!$E$17,IF(AND(#REF!="Diferenciado",$H$4=#REF!),BDI!#REF!,IF(#REF!="ZERO",0))))),"")</f>
        <v>#REF!</v>
      </c>
      <c r="H1144" s="139" t="e">
        <f t="shared" ca="1" si="52"/>
        <v>#REF!</v>
      </c>
      <c r="I1144" s="137" t="e">
        <f t="shared" ca="1" si="53"/>
        <v>#REF!</v>
      </c>
    </row>
    <row r="1145" spans="1:9" hidden="1" x14ac:dyDescent="0.25">
      <c r="A1145" s="114" t="s">
        <v>1408</v>
      </c>
      <c r="B1145" s="115" t="s">
        <v>3248</v>
      </c>
      <c r="C1145" s="116" t="s">
        <v>96</v>
      </c>
      <c r="D1145" s="116">
        <v>0</v>
      </c>
      <c r="E1145" s="136">
        <f ca="1">OFFSET(INDEX(Composições!A:J,MATCH(Orçamentária!A1145,Composições!A:A,0),8),2,0)</f>
        <v>39.864137499999998</v>
      </c>
      <c r="F1145" s="137">
        <f t="shared" ca="1" si="51"/>
        <v>0</v>
      </c>
      <c r="G1145" s="138" t="e">
        <f>IF(A1145&lt;&gt;"",IF(AND(#REF!="Padrão",$H$4=#REF!),BDI!$B$17,IF(AND(#REF!="Padrão",$H$4=#REF!),BDI!#REF!,IF(AND(#REF!="Diferenciado",$H$4=#REF!),BDI!$E$17,IF(AND(#REF!="Diferenciado",$H$4=#REF!),BDI!#REF!,IF(#REF!="ZERO",0))))),"")</f>
        <v>#REF!</v>
      </c>
      <c r="H1145" s="139" t="e">
        <f t="shared" ca="1" si="52"/>
        <v>#REF!</v>
      </c>
      <c r="I1145" s="137" t="e">
        <f t="shared" ca="1" si="53"/>
        <v>#REF!</v>
      </c>
    </row>
    <row r="1146" spans="1:9" hidden="1" x14ac:dyDescent="0.25">
      <c r="A1146" s="114" t="s">
        <v>1412</v>
      </c>
      <c r="B1146" s="115" t="s">
        <v>3249</v>
      </c>
      <c r="C1146" s="116" t="s">
        <v>94</v>
      </c>
      <c r="D1146" s="116">
        <v>0</v>
      </c>
      <c r="E1146" s="136">
        <f ca="1">OFFSET(INDEX(Composições!A:J,MATCH(Orçamentária!A1146,Composições!A:A,0),8),2,0)</f>
        <v>50.168323899999997</v>
      </c>
      <c r="F1146" s="137">
        <f t="shared" ca="1" si="51"/>
        <v>0</v>
      </c>
      <c r="G1146" s="138" t="e">
        <f>IF(A1146&lt;&gt;"",IF(AND(#REF!="Padrão",$H$4=#REF!),BDI!$B$17,IF(AND(#REF!="Padrão",$H$4=#REF!),BDI!#REF!,IF(AND(#REF!="Diferenciado",$H$4=#REF!),BDI!$E$17,IF(AND(#REF!="Diferenciado",$H$4=#REF!),BDI!#REF!,IF(#REF!="ZERO",0))))),"")</f>
        <v>#REF!</v>
      </c>
      <c r="H1146" s="139" t="e">
        <f t="shared" ca="1" si="52"/>
        <v>#REF!</v>
      </c>
      <c r="I1146" s="137" t="e">
        <f t="shared" ca="1" si="53"/>
        <v>#REF!</v>
      </c>
    </row>
    <row r="1147" spans="1:9" hidden="1" x14ac:dyDescent="0.25">
      <c r="A1147" s="114" t="s">
        <v>1414</v>
      </c>
      <c r="B1147" s="115" t="s">
        <v>3250</v>
      </c>
      <c r="C1147" s="116" t="s">
        <v>94</v>
      </c>
      <c r="D1147" s="116">
        <v>0</v>
      </c>
      <c r="E1147" s="136">
        <f ca="1">OFFSET(INDEX(Composições!A:J,MATCH(Orçamentária!A1147,Composições!A:A,0),8),2,0)</f>
        <v>48.228480900000001</v>
      </c>
      <c r="F1147" s="137">
        <f t="shared" ca="1" si="51"/>
        <v>0</v>
      </c>
      <c r="G1147" s="138" t="e">
        <f>IF(A1147&lt;&gt;"",IF(AND(#REF!="Padrão",$H$4=#REF!),BDI!$B$17,IF(AND(#REF!="Padrão",$H$4=#REF!),BDI!#REF!,IF(AND(#REF!="Diferenciado",$H$4=#REF!),BDI!$E$17,IF(AND(#REF!="Diferenciado",$H$4=#REF!),BDI!#REF!,IF(#REF!="ZERO",0))))),"")</f>
        <v>#REF!</v>
      </c>
      <c r="H1147" s="139" t="e">
        <f t="shared" ca="1" si="52"/>
        <v>#REF!</v>
      </c>
      <c r="I1147" s="137" t="e">
        <f t="shared" ca="1" si="53"/>
        <v>#REF!</v>
      </c>
    </row>
    <row r="1148" spans="1:9" hidden="1" x14ac:dyDescent="0.25">
      <c r="A1148" s="114" t="s">
        <v>1416</v>
      </c>
      <c r="B1148" s="115" t="s">
        <v>3251</v>
      </c>
      <c r="C1148" s="116" t="s">
        <v>96</v>
      </c>
      <c r="D1148" s="116">
        <v>0</v>
      </c>
      <c r="E1148" s="136">
        <f ca="1">OFFSET(INDEX(Composições!A:J,MATCH(Orçamentária!A1148,Composições!A:A,0),8),2,0)</f>
        <v>5.9508000000000001</v>
      </c>
      <c r="F1148" s="137">
        <f t="shared" ca="1" si="51"/>
        <v>0</v>
      </c>
      <c r="G1148" s="138" t="e">
        <f>IF(A1148&lt;&gt;"",IF(AND(#REF!="Padrão",$H$4=#REF!),BDI!$B$17,IF(AND(#REF!="Padrão",$H$4=#REF!),BDI!#REF!,IF(AND(#REF!="Diferenciado",$H$4=#REF!),BDI!$E$17,IF(AND(#REF!="Diferenciado",$H$4=#REF!),BDI!#REF!,IF(#REF!="ZERO",0))))),"")</f>
        <v>#REF!</v>
      </c>
      <c r="H1148" s="139" t="e">
        <f t="shared" ca="1" si="52"/>
        <v>#REF!</v>
      </c>
      <c r="I1148" s="137" t="e">
        <f t="shared" ca="1" si="53"/>
        <v>#REF!</v>
      </c>
    </row>
    <row r="1149" spans="1:9" hidden="1" x14ac:dyDescent="0.25">
      <c r="A1149" s="114" t="s">
        <v>3252</v>
      </c>
      <c r="B1149" s="115" t="s">
        <v>3253</v>
      </c>
      <c r="C1149" s="116" t="s">
        <v>20</v>
      </c>
      <c r="D1149" s="116">
        <v>0</v>
      </c>
      <c r="E1149" s="136" t="s">
        <v>572</v>
      </c>
      <c r="F1149" s="137" t="str">
        <f t="shared" si="51"/>
        <v/>
      </c>
      <c r="G1149" s="138" t="e">
        <f>IF(A1149&lt;&gt;"",IF(AND(#REF!="Padrão",$H$4=#REF!),BDI!$B$17,IF(AND(#REF!="Padrão",$H$4=#REF!),BDI!#REF!,IF(AND(#REF!="Diferenciado",$H$4=#REF!),BDI!$E$17,IF(AND(#REF!="Diferenciado",$H$4=#REF!),BDI!#REF!,IF(#REF!="ZERO",0))))),"")</f>
        <v>#REF!</v>
      </c>
      <c r="H1149" s="139" t="str">
        <f t="shared" si="52"/>
        <v/>
      </c>
      <c r="I1149" s="137" t="str">
        <f t="shared" si="53"/>
        <v/>
      </c>
    </row>
    <row r="1150" spans="1:9" hidden="1" x14ac:dyDescent="0.25">
      <c r="A1150" s="114" t="s">
        <v>3254</v>
      </c>
      <c r="B1150" s="115" t="s">
        <v>3255</v>
      </c>
      <c r="C1150" s="116" t="s">
        <v>20</v>
      </c>
      <c r="D1150" s="116">
        <v>0</v>
      </c>
      <c r="E1150" s="136" t="s">
        <v>572</v>
      </c>
      <c r="F1150" s="137" t="str">
        <f t="shared" si="51"/>
        <v/>
      </c>
      <c r="G1150" s="138" t="e">
        <f>IF(A1150&lt;&gt;"",IF(AND(#REF!="Padrão",$H$4=#REF!),BDI!$B$17,IF(AND(#REF!="Padrão",$H$4=#REF!),BDI!#REF!,IF(AND(#REF!="Diferenciado",$H$4=#REF!),BDI!$E$17,IF(AND(#REF!="Diferenciado",$H$4=#REF!),BDI!#REF!,IF(#REF!="ZERO",0))))),"")</f>
        <v>#REF!</v>
      </c>
      <c r="H1150" s="139" t="str">
        <f t="shared" si="52"/>
        <v/>
      </c>
      <c r="I1150" s="137" t="str">
        <f t="shared" si="53"/>
        <v/>
      </c>
    </row>
    <row r="1151" spans="1:9" hidden="1" x14ac:dyDescent="0.25">
      <c r="A1151" s="114" t="s">
        <v>3256</v>
      </c>
      <c r="B1151" s="115" t="s">
        <v>3257</v>
      </c>
      <c r="C1151" s="116" t="s">
        <v>1645</v>
      </c>
      <c r="D1151" s="116">
        <v>0</v>
      </c>
      <c r="E1151" s="136" t="s">
        <v>572</v>
      </c>
      <c r="F1151" s="137" t="str">
        <f t="shared" si="51"/>
        <v/>
      </c>
      <c r="G1151" s="138" t="e">
        <f>IF(A1151&lt;&gt;"",IF(AND(#REF!="Padrão",$H$4=#REF!),BDI!$B$17,IF(AND(#REF!="Padrão",$H$4=#REF!),BDI!#REF!,IF(AND(#REF!="Diferenciado",$H$4=#REF!),BDI!$E$17,IF(AND(#REF!="Diferenciado",$H$4=#REF!),BDI!#REF!,IF(#REF!="ZERO",0))))),"")</f>
        <v>#REF!</v>
      </c>
      <c r="H1151" s="139" t="str">
        <f t="shared" si="52"/>
        <v/>
      </c>
      <c r="I1151" s="137" t="str">
        <f t="shared" si="53"/>
        <v/>
      </c>
    </row>
    <row r="1152" spans="1:9" hidden="1" x14ac:dyDescent="0.25">
      <c r="A1152" s="114" t="s">
        <v>1418</v>
      </c>
      <c r="B1152" s="115" t="s">
        <v>3258</v>
      </c>
      <c r="C1152" s="116" t="s">
        <v>94</v>
      </c>
      <c r="D1152" s="116">
        <v>0</v>
      </c>
      <c r="E1152" s="136">
        <f ca="1">OFFSET(INDEX(Composições!A:J,MATCH(Orçamentária!A1152,Composições!A:A,0),8),2,0)</f>
        <v>300.78358861282146</v>
      </c>
      <c r="F1152" s="137">
        <f t="shared" ca="1" si="51"/>
        <v>0</v>
      </c>
      <c r="G1152" s="138" t="e">
        <f>IF(A1152&lt;&gt;"",IF(AND(#REF!="Padrão",$H$4=#REF!),BDI!$B$17,IF(AND(#REF!="Padrão",$H$4=#REF!),BDI!#REF!,IF(AND(#REF!="Diferenciado",$H$4=#REF!),BDI!$E$17,IF(AND(#REF!="Diferenciado",$H$4=#REF!),BDI!#REF!,IF(#REF!="ZERO",0))))),"")</f>
        <v>#REF!</v>
      </c>
      <c r="H1152" s="139" t="e">
        <f t="shared" ca="1" si="52"/>
        <v>#REF!</v>
      </c>
      <c r="I1152" s="137" t="e">
        <f t="shared" ca="1" si="53"/>
        <v>#REF!</v>
      </c>
    </row>
    <row r="1153" spans="1:9" hidden="1" x14ac:dyDescent="0.25">
      <c r="A1153" s="114" t="s">
        <v>1420</v>
      </c>
      <c r="B1153" s="115" t="s">
        <v>3259</v>
      </c>
      <c r="C1153" s="116" t="s">
        <v>94</v>
      </c>
      <c r="D1153" s="116">
        <v>0</v>
      </c>
      <c r="E1153" s="136">
        <f ca="1">OFFSET(INDEX(Composições!A:J,MATCH(Orçamentária!A1153,Composições!A:A,0),8),2,0)</f>
        <v>78.298908612821506</v>
      </c>
      <c r="F1153" s="137">
        <f t="shared" ca="1" si="51"/>
        <v>0</v>
      </c>
      <c r="G1153" s="138" t="e">
        <f>IF(A1153&lt;&gt;"",IF(AND(#REF!="Padrão",$H$4=#REF!),BDI!$B$17,IF(AND(#REF!="Padrão",$H$4=#REF!),BDI!#REF!,IF(AND(#REF!="Diferenciado",$H$4=#REF!),BDI!$E$17,IF(AND(#REF!="Diferenciado",$H$4=#REF!),BDI!#REF!,IF(#REF!="ZERO",0))))),"")</f>
        <v>#REF!</v>
      </c>
      <c r="H1153" s="139" t="e">
        <f t="shared" ca="1" si="52"/>
        <v>#REF!</v>
      </c>
      <c r="I1153" s="137" t="e">
        <f t="shared" ca="1" si="53"/>
        <v>#REF!</v>
      </c>
    </row>
    <row r="1154" spans="1:9" hidden="1" x14ac:dyDescent="0.25">
      <c r="A1154" s="114" t="s">
        <v>1421</v>
      </c>
      <c r="B1154" s="115" t="s">
        <v>3260</v>
      </c>
      <c r="C1154" s="116" t="s">
        <v>96</v>
      </c>
      <c r="D1154" s="116">
        <v>0</v>
      </c>
      <c r="E1154" s="136">
        <f ca="1">OFFSET(INDEX(Composições!A:J,MATCH(Orçamentária!A1154,Composições!A:A,0),8),2,0)</f>
        <v>1.7942650000000002</v>
      </c>
      <c r="F1154" s="137">
        <f t="shared" ca="1" si="51"/>
        <v>0</v>
      </c>
      <c r="G1154" s="138" t="e">
        <f>IF(A1154&lt;&gt;"",IF(AND(#REF!="Padrão",$H$4=#REF!),BDI!$B$17,IF(AND(#REF!="Padrão",$H$4=#REF!),BDI!#REF!,IF(AND(#REF!="Diferenciado",$H$4=#REF!),BDI!$E$17,IF(AND(#REF!="Diferenciado",$H$4=#REF!),BDI!#REF!,IF(#REF!="ZERO",0))))),"")</f>
        <v>#REF!</v>
      </c>
      <c r="H1154" s="139" t="e">
        <f t="shared" ca="1" si="52"/>
        <v>#REF!</v>
      </c>
      <c r="I1154" s="137" t="e">
        <f t="shared" ca="1" si="53"/>
        <v>#REF!</v>
      </c>
    </row>
    <row r="1155" spans="1:9" hidden="1" x14ac:dyDescent="0.25">
      <c r="A1155" s="114" t="s">
        <v>1425</v>
      </c>
      <c r="B1155" s="115" t="s">
        <v>3261</v>
      </c>
      <c r="C1155" s="116" t="s">
        <v>20</v>
      </c>
      <c r="D1155" s="116">
        <v>0</v>
      </c>
      <c r="E1155" s="136">
        <f ca="1">OFFSET(INDEX(Composições!A:J,MATCH(Orçamentária!A1155,Composições!A:A,0),8),2,0)</f>
        <v>211.54408480000001</v>
      </c>
      <c r="F1155" s="137">
        <f t="shared" ca="1" si="51"/>
        <v>0</v>
      </c>
      <c r="G1155" s="138" t="e">
        <f>IF(A1155&lt;&gt;"",IF(AND(#REF!="Padrão",$H$4=#REF!),BDI!$B$17,IF(AND(#REF!="Padrão",$H$4=#REF!),BDI!#REF!,IF(AND(#REF!="Diferenciado",$H$4=#REF!),BDI!$E$17,IF(AND(#REF!="Diferenciado",$H$4=#REF!),BDI!#REF!,IF(#REF!="ZERO",0))))),"")</f>
        <v>#REF!</v>
      </c>
      <c r="H1155" s="139" t="e">
        <f t="shared" ca="1" si="52"/>
        <v>#REF!</v>
      </c>
      <c r="I1155" s="137" t="e">
        <f t="shared" ca="1" si="53"/>
        <v>#REF!</v>
      </c>
    </row>
    <row r="1156" spans="1:9" hidden="1" x14ac:dyDescent="0.25">
      <c r="A1156" s="114" t="s">
        <v>1433</v>
      </c>
      <c r="B1156" s="115" t="s">
        <v>3262</v>
      </c>
      <c r="C1156" s="116" t="s">
        <v>20</v>
      </c>
      <c r="D1156" s="116">
        <v>0</v>
      </c>
      <c r="E1156" s="136">
        <f ca="1">OFFSET(INDEX(Composições!A:J,MATCH(Orçamentária!A1156,Composições!A:A,0),8),2,0)</f>
        <v>37.587880499999997</v>
      </c>
      <c r="F1156" s="137">
        <f t="shared" ca="1" si="51"/>
        <v>0</v>
      </c>
      <c r="G1156" s="138" t="e">
        <f>IF(A1156&lt;&gt;"",IF(AND(#REF!="Padrão",$H$4=#REF!),BDI!$B$17,IF(AND(#REF!="Padrão",$H$4=#REF!),BDI!#REF!,IF(AND(#REF!="Diferenciado",$H$4=#REF!),BDI!$E$17,IF(AND(#REF!="Diferenciado",$H$4=#REF!),BDI!#REF!,IF(#REF!="ZERO",0))))),"")</f>
        <v>#REF!</v>
      </c>
      <c r="H1156" s="139" t="e">
        <f t="shared" ca="1" si="52"/>
        <v>#REF!</v>
      </c>
      <c r="I1156" s="137" t="e">
        <f t="shared" ca="1" si="53"/>
        <v>#REF!</v>
      </c>
    </row>
    <row r="1157" spans="1:9" hidden="1" x14ac:dyDescent="0.25">
      <c r="A1157" s="114" t="s">
        <v>1434</v>
      </c>
      <c r="B1157" s="115" t="s">
        <v>3263</v>
      </c>
      <c r="C1157" s="116" t="s">
        <v>96</v>
      </c>
      <c r="D1157" s="116">
        <v>0</v>
      </c>
      <c r="E1157" s="136">
        <f ca="1">OFFSET(INDEX(Composições!A:J,MATCH(Orçamentária!A1157,Composições!A:A,0),8),2,0)</f>
        <v>36.233734439391199</v>
      </c>
      <c r="F1157" s="137">
        <f t="shared" ca="1" si="51"/>
        <v>0</v>
      </c>
      <c r="G1157" s="138" t="e">
        <f>IF(A1157&lt;&gt;"",IF(AND(#REF!="Padrão",$H$4=#REF!),BDI!$B$17,IF(AND(#REF!="Padrão",$H$4=#REF!),BDI!#REF!,IF(AND(#REF!="Diferenciado",$H$4=#REF!),BDI!$E$17,IF(AND(#REF!="Diferenciado",$H$4=#REF!),BDI!#REF!,IF(#REF!="ZERO",0))))),"")</f>
        <v>#REF!</v>
      </c>
      <c r="H1157" s="139" t="e">
        <f t="shared" ca="1" si="52"/>
        <v>#REF!</v>
      </c>
      <c r="I1157" s="137" t="e">
        <f t="shared" ca="1" si="53"/>
        <v>#REF!</v>
      </c>
    </row>
    <row r="1158" spans="1:9" hidden="1" x14ac:dyDescent="0.25">
      <c r="A1158" s="114" t="s">
        <v>1437</v>
      </c>
      <c r="B1158" s="115" t="s">
        <v>3264</v>
      </c>
      <c r="C1158" s="116" t="s">
        <v>96</v>
      </c>
      <c r="D1158" s="116">
        <v>0</v>
      </c>
      <c r="E1158" s="136">
        <f ca="1">OFFSET(INDEX(Composições!A:J,MATCH(Orçamentária!A1158,Composições!A:A,0),8),2,0)</f>
        <v>43.229399900087202</v>
      </c>
      <c r="F1158" s="137">
        <f t="shared" ca="1" si="51"/>
        <v>0</v>
      </c>
      <c r="G1158" s="138" t="e">
        <f>IF(A1158&lt;&gt;"",IF(AND(#REF!="Padrão",$H$4=#REF!),BDI!$B$17,IF(AND(#REF!="Padrão",$H$4=#REF!),BDI!#REF!,IF(AND(#REF!="Diferenciado",$H$4=#REF!),BDI!$E$17,IF(AND(#REF!="Diferenciado",$H$4=#REF!),BDI!#REF!,IF(#REF!="ZERO",0))))),"")</f>
        <v>#REF!</v>
      </c>
      <c r="H1158" s="139" t="e">
        <f t="shared" ca="1" si="52"/>
        <v>#REF!</v>
      </c>
      <c r="I1158" s="137" t="e">
        <f t="shared" ca="1" si="53"/>
        <v>#REF!</v>
      </c>
    </row>
    <row r="1159" spans="1:9" hidden="1" x14ac:dyDescent="0.25">
      <c r="A1159" s="114" t="s">
        <v>1438</v>
      </c>
      <c r="B1159" s="115" t="s">
        <v>3265</v>
      </c>
      <c r="C1159" s="116" t="s">
        <v>96</v>
      </c>
      <c r="D1159" s="116">
        <v>0</v>
      </c>
      <c r="E1159" s="136">
        <f ca="1">OFFSET(INDEX(Composições!A:J,MATCH(Orçamentária!A1159,Composições!A:A,0),8),2,0)</f>
        <v>5.3045150000000003</v>
      </c>
      <c r="F1159" s="137">
        <f t="shared" ref="F1159:F1222" ca="1" si="54">IF(ISNUMBER(E1159),D1159*E1159,"")</f>
        <v>0</v>
      </c>
      <c r="G1159" s="138" t="e">
        <f>IF(A1159&lt;&gt;"",IF(AND(#REF!="Padrão",$H$4=#REF!),BDI!$B$17,IF(AND(#REF!="Padrão",$H$4=#REF!),BDI!#REF!,IF(AND(#REF!="Diferenciado",$H$4=#REF!),BDI!$E$17,IF(AND(#REF!="Diferenciado",$H$4=#REF!),BDI!#REF!,IF(#REF!="ZERO",0))))),"")</f>
        <v>#REF!</v>
      </c>
      <c r="H1159" s="139" t="e">
        <f t="shared" ref="H1159:H1222" ca="1" si="55">IF(ISNUMBER(E1159),ROUND(E1159*(1+G1159),2),"")</f>
        <v>#REF!</v>
      </c>
      <c r="I1159" s="137" t="e">
        <f t="shared" ref="I1159:I1222" ca="1" si="56">IF(ISNUMBER(E1159),ROUND(H1159*D1159,2),"")</f>
        <v>#REF!</v>
      </c>
    </row>
    <row r="1160" spans="1:9" hidden="1" x14ac:dyDescent="0.25">
      <c r="A1160" s="114" t="s">
        <v>1440</v>
      </c>
      <c r="B1160" s="115" t="s">
        <v>3266</v>
      </c>
      <c r="C1160" s="116" t="s">
        <v>96</v>
      </c>
      <c r="D1160" s="116">
        <v>0</v>
      </c>
      <c r="E1160" s="136">
        <f ca="1">OFFSET(INDEX(Composições!A:J,MATCH(Orçamentária!A1160,Composições!A:A,0),8),2,0)</f>
        <v>10.042450000000001</v>
      </c>
      <c r="F1160" s="137">
        <f t="shared" ca="1" si="54"/>
        <v>0</v>
      </c>
      <c r="G1160" s="138" t="e">
        <f>IF(A1160&lt;&gt;"",IF(AND(#REF!="Padrão",$H$4=#REF!),BDI!$B$17,IF(AND(#REF!="Padrão",$H$4=#REF!),BDI!#REF!,IF(AND(#REF!="Diferenciado",$H$4=#REF!),BDI!$E$17,IF(AND(#REF!="Diferenciado",$H$4=#REF!),BDI!#REF!,IF(#REF!="ZERO",0))))),"")</f>
        <v>#REF!</v>
      </c>
      <c r="H1160" s="139" t="e">
        <f t="shared" ca="1" si="55"/>
        <v>#REF!</v>
      </c>
      <c r="I1160" s="137" t="e">
        <f t="shared" ca="1" si="56"/>
        <v>#REF!</v>
      </c>
    </row>
    <row r="1161" spans="1:9" hidden="1" x14ac:dyDescent="0.25">
      <c r="A1161" s="114" t="s">
        <v>1442</v>
      </c>
      <c r="B1161" s="115" t="s">
        <v>3267</v>
      </c>
      <c r="C1161" s="116" t="s">
        <v>96</v>
      </c>
      <c r="D1161" s="116">
        <v>0</v>
      </c>
      <c r="E1161" s="136">
        <f ca="1">OFFSET(INDEX(Composições!A:J,MATCH(Orçamentária!A1161,Composições!A:A,0),8),2,0)</f>
        <v>23.412883151772</v>
      </c>
      <c r="F1161" s="137">
        <f t="shared" ca="1" si="54"/>
        <v>0</v>
      </c>
      <c r="G1161" s="138" t="e">
        <f>IF(A1161&lt;&gt;"",IF(AND(#REF!="Padrão",$H$4=#REF!),BDI!$B$17,IF(AND(#REF!="Padrão",$H$4=#REF!),BDI!#REF!,IF(AND(#REF!="Diferenciado",$H$4=#REF!),BDI!$E$17,IF(AND(#REF!="Diferenciado",$H$4=#REF!),BDI!#REF!,IF(#REF!="ZERO",0))))),"")</f>
        <v>#REF!</v>
      </c>
      <c r="H1161" s="139" t="e">
        <f t="shared" ca="1" si="55"/>
        <v>#REF!</v>
      </c>
      <c r="I1161" s="137" t="e">
        <f t="shared" ca="1" si="56"/>
        <v>#REF!</v>
      </c>
    </row>
    <row r="1162" spans="1:9" hidden="1" x14ac:dyDescent="0.25">
      <c r="A1162" s="114" t="s">
        <v>1443</v>
      </c>
      <c r="B1162" s="115" t="s">
        <v>3268</v>
      </c>
      <c r="C1162" s="116" t="s">
        <v>96</v>
      </c>
      <c r="D1162" s="116">
        <v>0</v>
      </c>
      <c r="E1162" s="136">
        <f ca="1">OFFSET(INDEX(Composições!A:J,MATCH(Orçamentária!A1162,Composições!A:A,0),8),2,0)</f>
        <v>68.4341542385</v>
      </c>
      <c r="F1162" s="137">
        <f t="shared" ca="1" si="54"/>
        <v>0</v>
      </c>
      <c r="G1162" s="138" t="e">
        <f>IF(A1162&lt;&gt;"",IF(AND(#REF!="Padrão",$H$4=#REF!),BDI!$B$17,IF(AND(#REF!="Padrão",$H$4=#REF!),BDI!#REF!,IF(AND(#REF!="Diferenciado",$H$4=#REF!),BDI!$E$17,IF(AND(#REF!="Diferenciado",$H$4=#REF!),BDI!#REF!,IF(#REF!="ZERO",0))))),"")</f>
        <v>#REF!</v>
      </c>
      <c r="H1162" s="139" t="e">
        <f t="shared" ca="1" si="55"/>
        <v>#REF!</v>
      </c>
      <c r="I1162" s="137" t="e">
        <f t="shared" ca="1" si="56"/>
        <v>#REF!</v>
      </c>
    </row>
    <row r="1163" spans="1:9" hidden="1" x14ac:dyDescent="0.25">
      <c r="A1163" s="114" t="s">
        <v>1444</v>
      </c>
      <c r="B1163" s="115" t="s">
        <v>3269</v>
      </c>
      <c r="C1163" s="116" t="s">
        <v>96</v>
      </c>
      <c r="D1163" s="116">
        <v>0</v>
      </c>
      <c r="E1163" s="136">
        <f ca="1">OFFSET(INDEX(Composições!A:J,MATCH(Orçamentária!A1163,Composições!A:A,0),8),2,0)</f>
        <v>11.80185</v>
      </c>
      <c r="F1163" s="137">
        <f t="shared" ca="1" si="54"/>
        <v>0</v>
      </c>
      <c r="G1163" s="138" t="e">
        <f>IF(A1163&lt;&gt;"",IF(AND(#REF!="Padrão",$H$4=#REF!),BDI!$B$17,IF(AND(#REF!="Padrão",$H$4=#REF!),BDI!#REF!,IF(AND(#REF!="Diferenciado",$H$4=#REF!),BDI!$E$17,IF(AND(#REF!="Diferenciado",$H$4=#REF!),BDI!#REF!,IF(#REF!="ZERO",0))))),"")</f>
        <v>#REF!</v>
      </c>
      <c r="H1163" s="139" t="e">
        <f t="shared" ca="1" si="55"/>
        <v>#REF!</v>
      </c>
      <c r="I1163" s="137" t="e">
        <f t="shared" ca="1" si="56"/>
        <v>#REF!</v>
      </c>
    </row>
    <row r="1164" spans="1:9" hidden="1" x14ac:dyDescent="0.25">
      <c r="A1164" s="114" t="s">
        <v>1446</v>
      </c>
      <c r="B1164" s="115" t="s">
        <v>3270</v>
      </c>
      <c r="C1164" s="116" t="s">
        <v>96</v>
      </c>
      <c r="D1164" s="116">
        <v>0</v>
      </c>
      <c r="E1164" s="136">
        <f ca="1">OFFSET(INDEX(Composições!A:J,MATCH(Orçamentária!A1164,Composições!A:A,0),8),2,0)</f>
        <v>5.4676299999999998</v>
      </c>
      <c r="F1164" s="137">
        <f t="shared" ca="1" si="54"/>
        <v>0</v>
      </c>
      <c r="G1164" s="138" t="e">
        <f>IF(A1164&lt;&gt;"",IF(AND(#REF!="Padrão",$H$4=#REF!),BDI!$B$17,IF(AND(#REF!="Padrão",$H$4=#REF!),BDI!#REF!,IF(AND(#REF!="Diferenciado",$H$4=#REF!),BDI!$E$17,IF(AND(#REF!="Diferenciado",$H$4=#REF!),BDI!#REF!,IF(#REF!="ZERO",0))))),"")</f>
        <v>#REF!</v>
      </c>
      <c r="H1164" s="139" t="e">
        <f t="shared" ca="1" si="55"/>
        <v>#REF!</v>
      </c>
      <c r="I1164" s="137" t="e">
        <f t="shared" ca="1" si="56"/>
        <v>#REF!</v>
      </c>
    </row>
    <row r="1165" spans="1:9" hidden="1" x14ac:dyDescent="0.25">
      <c r="A1165" s="114" t="s">
        <v>1448</v>
      </c>
      <c r="B1165" s="115" t="s">
        <v>3271</v>
      </c>
      <c r="C1165" s="116" t="s">
        <v>96</v>
      </c>
      <c r="D1165" s="116">
        <v>0</v>
      </c>
      <c r="E1165" s="136">
        <f ca="1">OFFSET(INDEX(Composições!A:J,MATCH(Orçamentária!A1165,Composições!A:A,0),8),2,0)</f>
        <v>144.95862659999997</v>
      </c>
      <c r="F1165" s="137">
        <f t="shared" ca="1" si="54"/>
        <v>0</v>
      </c>
      <c r="G1165" s="138" t="e">
        <f>IF(A1165&lt;&gt;"",IF(AND(#REF!="Padrão",$H$4=#REF!),BDI!$B$17,IF(AND(#REF!="Padrão",$H$4=#REF!),BDI!#REF!,IF(AND(#REF!="Diferenciado",$H$4=#REF!),BDI!$E$17,IF(AND(#REF!="Diferenciado",$H$4=#REF!),BDI!#REF!,IF(#REF!="ZERO",0))))),"")</f>
        <v>#REF!</v>
      </c>
      <c r="H1165" s="139" t="e">
        <f t="shared" ca="1" si="55"/>
        <v>#REF!</v>
      </c>
      <c r="I1165" s="137" t="e">
        <f t="shared" ca="1" si="56"/>
        <v>#REF!</v>
      </c>
    </row>
    <row r="1166" spans="1:9" hidden="1" x14ac:dyDescent="0.25">
      <c r="A1166" s="114" t="s">
        <v>1453</v>
      </c>
      <c r="B1166" s="115" t="s">
        <v>3272</v>
      </c>
      <c r="C1166" s="116" t="s">
        <v>96</v>
      </c>
      <c r="D1166" s="116">
        <v>0</v>
      </c>
      <c r="E1166" s="136">
        <f ca="1">OFFSET(INDEX(Composições!A:J,MATCH(Orçamentária!A1166,Composições!A:A,0),8),2,0)</f>
        <v>139.42411659999999</v>
      </c>
      <c r="F1166" s="137">
        <f t="shared" ca="1" si="54"/>
        <v>0</v>
      </c>
      <c r="G1166" s="138" t="e">
        <f>IF(A1166&lt;&gt;"",IF(AND(#REF!="Padrão",$H$4=#REF!),BDI!$B$17,IF(AND(#REF!="Padrão",$H$4=#REF!),BDI!#REF!,IF(AND(#REF!="Diferenciado",$H$4=#REF!),BDI!$E$17,IF(AND(#REF!="Diferenciado",$H$4=#REF!),BDI!#REF!,IF(#REF!="ZERO",0))))),"")</f>
        <v>#REF!</v>
      </c>
      <c r="H1166" s="139" t="e">
        <f t="shared" ca="1" si="55"/>
        <v>#REF!</v>
      </c>
      <c r="I1166" s="137" t="e">
        <f t="shared" ca="1" si="56"/>
        <v>#REF!</v>
      </c>
    </row>
    <row r="1167" spans="1:9" hidden="1" x14ac:dyDescent="0.25">
      <c r="A1167" s="114" t="s">
        <v>3273</v>
      </c>
      <c r="B1167" s="115" t="s">
        <v>3274</v>
      </c>
      <c r="C1167" s="116" t="s">
        <v>42</v>
      </c>
      <c r="D1167" s="116">
        <v>0</v>
      </c>
      <c r="E1167" s="136" t="s">
        <v>572</v>
      </c>
      <c r="F1167" s="137" t="str">
        <f t="shared" si="54"/>
        <v/>
      </c>
      <c r="G1167" s="138" t="e">
        <f>IF(A1167&lt;&gt;"",IF(AND(#REF!="Padrão",$H$4=#REF!),BDI!$B$17,IF(AND(#REF!="Padrão",$H$4=#REF!),BDI!#REF!,IF(AND(#REF!="Diferenciado",$H$4=#REF!),BDI!$E$17,IF(AND(#REF!="Diferenciado",$H$4=#REF!),BDI!#REF!,IF(#REF!="ZERO",0))))),"")</f>
        <v>#REF!</v>
      </c>
      <c r="H1167" s="139" t="str">
        <f t="shared" si="55"/>
        <v/>
      </c>
      <c r="I1167" s="137" t="str">
        <f t="shared" si="56"/>
        <v/>
      </c>
    </row>
    <row r="1168" spans="1:9" hidden="1" x14ac:dyDescent="0.25">
      <c r="A1168" s="114" t="s">
        <v>1455</v>
      </c>
      <c r="B1168" s="115" t="s">
        <v>3275</v>
      </c>
      <c r="C1168" s="116" t="s">
        <v>94</v>
      </c>
      <c r="D1168" s="116">
        <v>0</v>
      </c>
      <c r="E1168" s="136">
        <f ca="1">OFFSET(INDEX(Composições!A:J,MATCH(Orçamentária!A1168,Composições!A:A,0),8),2,0)</f>
        <v>100.90806479150001</v>
      </c>
      <c r="F1168" s="137">
        <f t="shared" ca="1" si="54"/>
        <v>0</v>
      </c>
      <c r="G1168" s="138" t="e">
        <f>IF(A1168&lt;&gt;"",IF(AND(#REF!="Padrão",$H$4=#REF!),BDI!$B$17,IF(AND(#REF!="Padrão",$H$4=#REF!),BDI!#REF!,IF(AND(#REF!="Diferenciado",$H$4=#REF!),BDI!$E$17,IF(AND(#REF!="Diferenciado",$H$4=#REF!),BDI!#REF!,IF(#REF!="ZERO",0))))),"")</f>
        <v>#REF!</v>
      </c>
      <c r="H1168" s="139" t="e">
        <f t="shared" ca="1" si="55"/>
        <v>#REF!</v>
      </c>
      <c r="I1168" s="137" t="e">
        <f t="shared" ca="1" si="56"/>
        <v>#REF!</v>
      </c>
    </row>
    <row r="1169" spans="1:9" hidden="1" x14ac:dyDescent="0.25">
      <c r="A1169" s="114" t="s">
        <v>1460</v>
      </c>
      <c r="B1169" s="115" t="s">
        <v>3276</v>
      </c>
      <c r="C1169" s="116" t="s">
        <v>96</v>
      </c>
      <c r="D1169" s="116">
        <v>0</v>
      </c>
      <c r="E1169" s="136">
        <f ca="1">OFFSET(INDEX(Composições!A:J,MATCH(Orçamentária!A1169,Composições!A:A,0),8),2,0)</f>
        <v>22.344140599999999</v>
      </c>
      <c r="F1169" s="137">
        <f t="shared" ca="1" si="54"/>
        <v>0</v>
      </c>
      <c r="G1169" s="138" t="e">
        <f>IF(A1169&lt;&gt;"",IF(AND(#REF!="Padrão",$H$4=#REF!),BDI!$B$17,IF(AND(#REF!="Padrão",$H$4=#REF!),BDI!#REF!,IF(AND(#REF!="Diferenciado",$H$4=#REF!),BDI!$E$17,IF(AND(#REF!="Diferenciado",$H$4=#REF!),BDI!#REF!,IF(#REF!="ZERO",0))))),"")</f>
        <v>#REF!</v>
      </c>
      <c r="H1169" s="139" t="e">
        <f t="shared" ca="1" si="55"/>
        <v>#REF!</v>
      </c>
      <c r="I1169" s="137" t="e">
        <f t="shared" ca="1" si="56"/>
        <v>#REF!</v>
      </c>
    </row>
    <row r="1170" spans="1:9" hidden="1" x14ac:dyDescent="0.25">
      <c r="A1170" s="114" t="s">
        <v>1462</v>
      </c>
      <c r="B1170" s="115" t="s">
        <v>3277</v>
      </c>
      <c r="C1170" s="116" t="s">
        <v>96</v>
      </c>
      <c r="D1170" s="116">
        <v>0</v>
      </c>
      <c r="E1170" s="136">
        <f ca="1">OFFSET(INDEX(Composições!A:J,MATCH(Orçamentária!A1170,Composições!A:A,0),8),2,0)</f>
        <v>44.687327400000001</v>
      </c>
      <c r="F1170" s="137">
        <f t="shared" ca="1" si="54"/>
        <v>0</v>
      </c>
      <c r="G1170" s="138" t="e">
        <f>IF(A1170&lt;&gt;"",IF(AND(#REF!="Padrão",$H$4=#REF!),BDI!$B$17,IF(AND(#REF!="Padrão",$H$4=#REF!),BDI!#REF!,IF(AND(#REF!="Diferenciado",$H$4=#REF!),BDI!$E$17,IF(AND(#REF!="Diferenciado",$H$4=#REF!),BDI!#REF!,IF(#REF!="ZERO",0))))),"")</f>
        <v>#REF!</v>
      </c>
      <c r="H1170" s="139" t="e">
        <f t="shared" ca="1" si="55"/>
        <v>#REF!</v>
      </c>
      <c r="I1170" s="137" t="e">
        <f t="shared" ca="1" si="56"/>
        <v>#REF!</v>
      </c>
    </row>
    <row r="1171" spans="1:9" hidden="1" x14ac:dyDescent="0.25">
      <c r="A1171" s="114" t="s">
        <v>1465</v>
      </c>
      <c r="B1171" s="115" t="s">
        <v>3278</v>
      </c>
      <c r="C1171" s="116" t="s">
        <v>96</v>
      </c>
      <c r="D1171" s="116">
        <v>0</v>
      </c>
      <c r="E1171" s="136">
        <f ca="1">OFFSET(INDEX(Composições!A:J,MATCH(Orçamentária!A1171,Composições!A:A,0),8),2,0)</f>
        <v>6.4571500000000004</v>
      </c>
      <c r="F1171" s="137">
        <f t="shared" ca="1" si="54"/>
        <v>0</v>
      </c>
      <c r="G1171" s="138" t="e">
        <f>IF(A1171&lt;&gt;"",IF(AND(#REF!="Padrão",$H$4=#REF!),BDI!$B$17,IF(AND(#REF!="Padrão",$H$4=#REF!),BDI!#REF!,IF(AND(#REF!="Diferenciado",$H$4=#REF!),BDI!$E$17,IF(AND(#REF!="Diferenciado",$H$4=#REF!),BDI!#REF!,IF(#REF!="ZERO",0))))),"")</f>
        <v>#REF!</v>
      </c>
      <c r="H1171" s="139" t="e">
        <f t="shared" ca="1" si="55"/>
        <v>#REF!</v>
      </c>
      <c r="I1171" s="137" t="e">
        <f t="shared" ca="1" si="56"/>
        <v>#REF!</v>
      </c>
    </row>
    <row r="1172" spans="1:9" hidden="1" x14ac:dyDescent="0.25">
      <c r="A1172" s="114" t="s">
        <v>1467</v>
      </c>
      <c r="B1172" s="115" t="s">
        <v>3279</v>
      </c>
      <c r="C1172" s="116" t="s">
        <v>96</v>
      </c>
      <c r="D1172" s="116">
        <v>0</v>
      </c>
      <c r="E1172" s="136">
        <f ca="1">OFFSET(INDEX(Composições!A:J,MATCH(Orçamentária!A1172,Composições!A:A,0),8),2,0)</f>
        <v>6.4571500000000004</v>
      </c>
      <c r="F1172" s="137">
        <f t="shared" ca="1" si="54"/>
        <v>0</v>
      </c>
      <c r="G1172" s="138" t="e">
        <f>IF(A1172&lt;&gt;"",IF(AND(#REF!="Padrão",$H$4=#REF!),BDI!$B$17,IF(AND(#REF!="Padrão",$H$4=#REF!),BDI!#REF!,IF(AND(#REF!="Diferenciado",$H$4=#REF!),BDI!$E$17,IF(AND(#REF!="Diferenciado",$H$4=#REF!),BDI!#REF!,IF(#REF!="ZERO",0))))),"")</f>
        <v>#REF!</v>
      </c>
      <c r="H1172" s="139" t="e">
        <f t="shared" ca="1" si="55"/>
        <v>#REF!</v>
      </c>
      <c r="I1172" s="137" t="e">
        <f t="shared" ca="1" si="56"/>
        <v>#REF!</v>
      </c>
    </row>
    <row r="1173" spans="1:9" hidden="1" x14ac:dyDescent="0.25">
      <c r="A1173" s="114" t="s">
        <v>1469</v>
      </c>
      <c r="B1173" s="115" t="s">
        <v>3280</v>
      </c>
      <c r="C1173" s="116" t="s">
        <v>112</v>
      </c>
      <c r="D1173" s="116">
        <v>0</v>
      </c>
      <c r="E1173" s="136">
        <f ca="1">OFFSET(INDEX(Composições!A:J,MATCH(Orçamentária!A1173,Composições!A:A,0),8),2,0)</f>
        <v>876.31320084890001</v>
      </c>
      <c r="F1173" s="137">
        <f t="shared" ca="1" si="54"/>
        <v>0</v>
      </c>
      <c r="G1173" s="138" t="e">
        <f>IF(A1173&lt;&gt;"",IF(AND(#REF!="Padrão",$H$4=#REF!),BDI!$B$17,IF(AND(#REF!="Padrão",$H$4=#REF!),BDI!#REF!,IF(AND(#REF!="Diferenciado",$H$4=#REF!),BDI!$E$17,IF(AND(#REF!="Diferenciado",$H$4=#REF!),BDI!#REF!,IF(#REF!="ZERO",0))))),"")</f>
        <v>#REF!</v>
      </c>
      <c r="H1173" s="139" t="e">
        <f t="shared" ca="1" si="55"/>
        <v>#REF!</v>
      </c>
      <c r="I1173" s="137" t="e">
        <f t="shared" ca="1" si="56"/>
        <v>#REF!</v>
      </c>
    </row>
    <row r="1174" spans="1:9" hidden="1" x14ac:dyDescent="0.25">
      <c r="A1174" s="114" t="s">
        <v>1472</v>
      </c>
      <c r="B1174" s="115" t="s">
        <v>3281</v>
      </c>
      <c r="C1174" s="116" t="s">
        <v>96</v>
      </c>
      <c r="D1174" s="116">
        <v>0</v>
      </c>
      <c r="E1174" s="136">
        <f ca="1">OFFSET(INDEX(Composições!A:J,MATCH(Orçamentária!A1174,Composições!A:A,0),8),2,0)</f>
        <v>6.5109674999999996</v>
      </c>
      <c r="F1174" s="137">
        <f t="shared" ca="1" si="54"/>
        <v>0</v>
      </c>
      <c r="G1174" s="138" t="e">
        <f>IF(A1174&lt;&gt;"",IF(AND(#REF!="Padrão",$H$4=#REF!),BDI!$B$17,IF(AND(#REF!="Padrão",$H$4=#REF!),BDI!#REF!,IF(AND(#REF!="Diferenciado",$H$4=#REF!),BDI!$E$17,IF(AND(#REF!="Diferenciado",$H$4=#REF!),BDI!#REF!,IF(#REF!="ZERO",0))))),"")</f>
        <v>#REF!</v>
      </c>
      <c r="H1174" s="139" t="e">
        <f t="shared" ca="1" si="55"/>
        <v>#REF!</v>
      </c>
      <c r="I1174" s="137" t="e">
        <f t="shared" ca="1" si="56"/>
        <v>#REF!</v>
      </c>
    </row>
    <row r="1175" spans="1:9" hidden="1" x14ac:dyDescent="0.25">
      <c r="A1175" s="114" t="s">
        <v>1477</v>
      </c>
      <c r="B1175" s="115" t="s">
        <v>3282</v>
      </c>
      <c r="C1175" s="116" t="s">
        <v>96</v>
      </c>
      <c r="D1175" s="116">
        <v>0</v>
      </c>
      <c r="E1175" s="136">
        <f ca="1">OFFSET(INDEX(Composições!A:J,MATCH(Orçamentária!A1175,Composições!A:A,0),8),2,0)</f>
        <v>109.55821799999998</v>
      </c>
      <c r="F1175" s="137">
        <f t="shared" ca="1" si="54"/>
        <v>0</v>
      </c>
      <c r="G1175" s="138" t="e">
        <f>IF(A1175&lt;&gt;"",IF(AND(#REF!="Padrão",$H$4=#REF!),BDI!$B$17,IF(AND(#REF!="Padrão",$H$4=#REF!),BDI!#REF!,IF(AND(#REF!="Diferenciado",$H$4=#REF!),BDI!$E$17,IF(AND(#REF!="Diferenciado",$H$4=#REF!),BDI!#REF!,IF(#REF!="ZERO",0))))),"")</f>
        <v>#REF!</v>
      </c>
      <c r="H1175" s="139" t="e">
        <f t="shared" ca="1" si="55"/>
        <v>#REF!</v>
      </c>
      <c r="I1175" s="137" t="e">
        <f t="shared" ca="1" si="56"/>
        <v>#REF!</v>
      </c>
    </row>
    <row r="1176" spans="1:9" hidden="1" x14ac:dyDescent="0.25">
      <c r="A1176" s="114" t="s">
        <v>1479</v>
      </c>
      <c r="B1176" s="115" t="s">
        <v>3283</v>
      </c>
      <c r="C1176" s="116" t="s">
        <v>96</v>
      </c>
      <c r="D1176" s="116">
        <v>0</v>
      </c>
      <c r="E1176" s="136">
        <f ca="1">OFFSET(INDEX(Composições!A:J,MATCH(Orçamentária!A1176,Composições!A:A,0),8),2,0)</f>
        <v>80.455718500000003</v>
      </c>
      <c r="F1176" s="137">
        <f t="shared" ca="1" si="54"/>
        <v>0</v>
      </c>
      <c r="G1176" s="138" t="e">
        <f>IF(A1176&lt;&gt;"",IF(AND(#REF!="Padrão",$H$4=#REF!),BDI!$B$17,IF(AND(#REF!="Padrão",$H$4=#REF!),BDI!#REF!,IF(AND(#REF!="Diferenciado",$H$4=#REF!),BDI!$E$17,IF(AND(#REF!="Diferenciado",$H$4=#REF!),BDI!#REF!,IF(#REF!="ZERO",0))))),"")</f>
        <v>#REF!</v>
      </c>
      <c r="H1176" s="139" t="e">
        <f t="shared" ca="1" si="55"/>
        <v>#REF!</v>
      </c>
      <c r="I1176" s="137" t="e">
        <f t="shared" ca="1" si="56"/>
        <v>#REF!</v>
      </c>
    </row>
    <row r="1177" spans="1:9" hidden="1" x14ac:dyDescent="0.25">
      <c r="A1177" s="114" t="s">
        <v>1482</v>
      </c>
      <c r="B1177" s="115" t="s">
        <v>3284</v>
      </c>
      <c r="C1177" s="116" t="s">
        <v>96</v>
      </c>
      <c r="D1177" s="116">
        <v>0</v>
      </c>
      <c r="E1177" s="136">
        <f ca="1">OFFSET(INDEX(Composições!A:J,MATCH(Orçamentária!A1177,Composições!A:A,0),8),2,0)</f>
        <v>34.734593500000003</v>
      </c>
      <c r="F1177" s="137">
        <f t="shared" ca="1" si="54"/>
        <v>0</v>
      </c>
      <c r="G1177" s="138" t="e">
        <f>IF(A1177&lt;&gt;"",IF(AND(#REF!="Padrão",$H$4=#REF!),BDI!$B$17,IF(AND(#REF!="Padrão",$H$4=#REF!),BDI!#REF!,IF(AND(#REF!="Diferenciado",$H$4=#REF!),BDI!$E$17,IF(AND(#REF!="Diferenciado",$H$4=#REF!),BDI!#REF!,IF(#REF!="ZERO",0))))),"")</f>
        <v>#REF!</v>
      </c>
      <c r="H1177" s="139" t="e">
        <f t="shared" ca="1" si="55"/>
        <v>#REF!</v>
      </c>
      <c r="I1177" s="137" t="e">
        <f t="shared" ca="1" si="56"/>
        <v>#REF!</v>
      </c>
    </row>
    <row r="1178" spans="1:9" hidden="1" x14ac:dyDescent="0.25">
      <c r="A1178" s="114" t="s">
        <v>1484</v>
      </c>
      <c r="B1178" s="115" t="s">
        <v>3285</v>
      </c>
      <c r="C1178" s="116" t="s">
        <v>96</v>
      </c>
      <c r="D1178" s="116">
        <v>0</v>
      </c>
      <c r="E1178" s="136">
        <f ca="1">OFFSET(INDEX(Composições!A:J,MATCH(Orçamentária!A1178,Composições!A:A,0),8),2,0)</f>
        <v>20.728999999999999</v>
      </c>
      <c r="F1178" s="137">
        <f t="shared" ca="1" si="54"/>
        <v>0</v>
      </c>
      <c r="G1178" s="138" t="e">
        <f>IF(A1178&lt;&gt;"",IF(AND(#REF!="Padrão",$H$4=#REF!),BDI!$B$17,IF(AND(#REF!="Padrão",$H$4=#REF!),BDI!#REF!,IF(AND(#REF!="Diferenciado",$H$4=#REF!),BDI!$E$17,IF(AND(#REF!="Diferenciado",$H$4=#REF!),BDI!#REF!,IF(#REF!="ZERO",0))))),"")</f>
        <v>#REF!</v>
      </c>
      <c r="H1178" s="139" t="e">
        <f t="shared" ca="1" si="55"/>
        <v>#REF!</v>
      </c>
      <c r="I1178" s="137" t="e">
        <f t="shared" ca="1" si="56"/>
        <v>#REF!</v>
      </c>
    </row>
    <row r="1179" spans="1:9" hidden="1" x14ac:dyDescent="0.25">
      <c r="A1179" s="114" t="s">
        <v>1490</v>
      </c>
      <c r="B1179" s="115" t="s">
        <v>3286</v>
      </c>
      <c r="C1179" s="116" t="s">
        <v>96</v>
      </c>
      <c r="D1179" s="116">
        <v>0</v>
      </c>
      <c r="E1179" s="136">
        <f ca="1">OFFSET(INDEX(Composições!A:J,MATCH(Orçamentária!A1179,Composições!A:A,0),8),2,0)</f>
        <v>37.616323499999993</v>
      </c>
      <c r="F1179" s="137">
        <f t="shared" ca="1" si="54"/>
        <v>0</v>
      </c>
      <c r="G1179" s="138" t="e">
        <f>IF(A1179&lt;&gt;"",IF(AND(#REF!="Padrão",$H$4=#REF!),BDI!$B$17,IF(AND(#REF!="Padrão",$H$4=#REF!),BDI!#REF!,IF(AND(#REF!="Diferenciado",$H$4=#REF!),BDI!$E$17,IF(AND(#REF!="Diferenciado",$H$4=#REF!),BDI!#REF!,IF(#REF!="ZERO",0))))),"")</f>
        <v>#REF!</v>
      </c>
      <c r="H1179" s="139" t="e">
        <f t="shared" ca="1" si="55"/>
        <v>#REF!</v>
      </c>
      <c r="I1179" s="137" t="e">
        <f t="shared" ca="1" si="56"/>
        <v>#REF!</v>
      </c>
    </row>
    <row r="1180" spans="1:9" hidden="1" x14ac:dyDescent="0.25">
      <c r="A1180" s="114" t="s">
        <v>1492</v>
      </c>
      <c r="B1180" s="115" t="s">
        <v>3287</v>
      </c>
      <c r="C1180" s="116" t="s">
        <v>96</v>
      </c>
      <c r="D1180" s="116">
        <v>0</v>
      </c>
      <c r="E1180" s="136">
        <f ca="1">OFFSET(INDEX(Composições!A:J,MATCH(Orçamentária!A1180,Composições!A:A,0),8),2,0)</f>
        <v>4.4174999999999995</v>
      </c>
      <c r="F1180" s="137">
        <f t="shared" ca="1" si="54"/>
        <v>0</v>
      </c>
      <c r="G1180" s="138" t="e">
        <f>IF(A1180&lt;&gt;"",IF(AND(#REF!="Padrão",$H$4=#REF!),BDI!$B$17,IF(AND(#REF!="Padrão",$H$4=#REF!),BDI!#REF!,IF(AND(#REF!="Diferenciado",$H$4=#REF!),BDI!$E$17,IF(AND(#REF!="Diferenciado",$H$4=#REF!),BDI!#REF!,IF(#REF!="ZERO",0))))),"")</f>
        <v>#REF!</v>
      </c>
      <c r="H1180" s="139" t="e">
        <f t="shared" ca="1" si="55"/>
        <v>#REF!</v>
      </c>
      <c r="I1180" s="137" t="e">
        <f t="shared" ca="1" si="56"/>
        <v>#REF!</v>
      </c>
    </row>
    <row r="1181" spans="1:9" hidden="1" x14ac:dyDescent="0.25">
      <c r="A1181" s="114" t="s">
        <v>1496</v>
      </c>
      <c r="B1181" s="115" t="s">
        <v>3288</v>
      </c>
      <c r="C1181" s="116" t="s">
        <v>96</v>
      </c>
      <c r="D1181" s="116">
        <v>0</v>
      </c>
      <c r="E1181" s="136">
        <f ca="1">OFFSET(INDEX(Composições!A:J,MATCH(Orçamentária!A1181,Composições!A:A,0),8),2,0)</f>
        <v>130.31712399999998</v>
      </c>
      <c r="F1181" s="137">
        <f t="shared" ca="1" si="54"/>
        <v>0</v>
      </c>
      <c r="G1181" s="138" t="e">
        <f>IF(A1181&lt;&gt;"",IF(AND(#REF!="Padrão",$H$4=#REF!),BDI!$B$17,IF(AND(#REF!="Padrão",$H$4=#REF!),BDI!#REF!,IF(AND(#REF!="Diferenciado",$H$4=#REF!),BDI!$E$17,IF(AND(#REF!="Diferenciado",$H$4=#REF!),BDI!#REF!,IF(#REF!="ZERO",0))))),"")</f>
        <v>#REF!</v>
      </c>
      <c r="H1181" s="139" t="e">
        <f t="shared" ca="1" si="55"/>
        <v>#REF!</v>
      </c>
      <c r="I1181" s="137" t="e">
        <f t="shared" ca="1" si="56"/>
        <v>#REF!</v>
      </c>
    </row>
    <row r="1182" spans="1:9" hidden="1" x14ac:dyDescent="0.25">
      <c r="A1182" s="114" t="s">
        <v>1498</v>
      </c>
      <c r="B1182" s="115" t="s">
        <v>3289</v>
      </c>
      <c r="C1182" s="116" t="s">
        <v>96</v>
      </c>
      <c r="D1182" s="116">
        <v>0</v>
      </c>
      <c r="E1182" s="136">
        <f ca="1">OFFSET(INDEX(Composições!A:J,MATCH(Orçamentária!A1182,Composições!A:A,0),8),2,0)</f>
        <v>132.644263</v>
      </c>
      <c r="F1182" s="137">
        <f t="shared" ca="1" si="54"/>
        <v>0</v>
      </c>
      <c r="G1182" s="138" t="e">
        <f>IF(A1182&lt;&gt;"",IF(AND(#REF!="Padrão",$H$4=#REF!),BDI!$B$17,IF(AND(#REF!="Padrão",$H$4=#REF!),BDI!#REF!,IF(AND(#REF!="Diferenciado",$H$4=#REF!),BDI!$E$17,IF(AND(#REF!="Diferenciado",$H$4=#REF!),BDI!#REF!,IF(#REF!="ZERO",0))))),"")</f>
        <v>#REF!</v>
      </c>
      <c r="H1182" s="139" t="e">
        <f t="shared" ca="1" si="55"/>
        <v>#REF!</v>
      </c>
      <c r="I1182" s="137" t="e">
        <f t="shared" ca="1" si="56"/>
        <v>#REF!</v>
      </c>
    </row>
    <row r="1183" spans="1:9" hidden="1" x14ac:dyDescent="0.25">
      <c r="A1183" s="114" t="s">
        <v>3290</v>
      </c>
      <c r="B1183" s="115" t="s">
        <v>3291</v>
      </c>
      <c r="C1183" s="116" t="s">
        <v>42</v>
      </c>
      <c r="D1183" s="116">
        <v>0</v>
      </c>
      <c r="E1183" s="136" t="s">
        <v>572</v>
      </c>
      <c r="F1183" s="137" t="str">
        <f t="shared" si="54"/>
        <v/>
      </c>
      <c r="G1183" s="138" t="e">
        <f>IF(A1183&lt;&gt;"",IF(AND(#REF!="Padrão",$H$4=#REF!),BDI!$B$17,IF(AND(#REF!="Padrão",$H$4=#REF!),BDI!#REF!,IF(AND(#REF!="Diferenciado",$H$4=#REF!),BDI!$E$17,IF(AND(#REF!="Diferenciado",$H$4=#REF!),BDI!#REF!,IF(#REF!="ZERO",0))))),"")</f>
        <v>#REF!</v>
      </c>
      <c r="H1183" s="139" t="str">
        <f t="shared" si="55"/>
        <v/>
      </c>
      <c r="I1183" s="137" t="str">
        <f t="shared" si="56"/>
        <v/>
      </c>
    </row>
    <row r="1184" spans="1:9" hidden="1" x14ac:dyDescent="0.25">
      <c r="A1184" s="114" t="s">
        <v>1499</v>
      </c>
      <c r="B1184" s="115" t="s">
        <v>3292</v>
      </c>
      <c r="C1184" s="116" t="s">
        <v>42</v>
      </c>
      <c r="D1184" s="116">
        <v>0</v>
      </c>
      <c r="E1184" s="136">
        <f ca="1">OFFSET(INDEX(Composições!A:J,MATCH(Orçamentária!A1184,Composições!A:A,0),8),2,0)</f>
        <v>5.852949999999999</v>
      </c>
      <c r="F1184" s="137">
        <f t="shared" ca="1" si="54"/>
        <v>0</v>
      </c>
      <c r="G1184" s="138" t="e">
        <f>IF(A1184&lt;&gt;"",IF(AND(#REF!="Padrão",$H$4=#REF!),BDI!$B$17,IF(AND(#REF!="Padrão",$H$4=#REF!),BDI!#REF!,IF(AND(#REF!="Diferenciado",$H$4=#REF!),BDI!$E$17,IF(AND(#REF!="Diferenciado",$H$4=#REF!),BDI!#REF!,IF(#REF!="ZERO",0))))),"")</f>
        <v>#REF!</v>
      </c>
      <c r="H1184" s="139" t="e">
        <f t="shared" ca="1" si="55"/>
        <v>#REF!</v>
      </c>
      <c r="I1184" s="137" t="e">
        <f t="shared" ca="1" si="56"/>
        <v>#REF!</v>
      </c>
    </row>
    <row r="1185" spans="1:9" hidden="1" x14ac:dyDescent="0.25">
      <c r="A1185" s="114" t="s">
        <v>1502</v>
      </c>
      <c r="B1185" s="115" t="s">
        <v>3293</v>
      </c>
      <c r="C1185" s="116" t="s">
        <v>112</v>
      </c>
      <c r="D1185" s="116">
        <v>0</v>
      </c>
      <c r="E1185" s="136">
        <f ca="1">OFFSET(INDEX(Composições!A:J,MATCH(Orçamentária!A1185,Composições!A:A,0),8),2,0)</f>
        <v>160.71234454999998</v>
      </c>
      <c r="F1185" s="137">
        <f t="shared" ca="1" si="54"/>
        <v>0</v>
      </c>
      <c r="G1185" s="138" t="e">
        <f>IF(A1185&lt;&gt;"",IF(AND(#REF!="Padrão",$H$4=#REF!),BDI!$B$17,IF(AND(#REF!="Padrão",$H$4=#REF!),BDI!#REF!,IF(AND(#REF!="Diferenciado",$H$4=#REF!),BDI!$E$17,IF(AND(#REF!="Diferenciado",$H$4=#REF!),BDI!#REF!,IF(#REF!="ZERO",0))))),"")</f>
        <v>#REF!</v>
      </c>
      <c r="H1185" s="139" t="e">
        <f t="shared" ca="1" si="55"/>
        <v>#REF!</v>
      </c>
      <c r="I1185" s="137" t="e">
        <f t="shared" ca="1" si="56"/>
        <v>#REF!</v>
      </c>
    </row>
    <row r="1186" spans="1:9" hidden="1" x14ac:dyDescent="0.25">
      <c r="A1186" s="114" t="s">
        <v>3294</v>
      </c>
      <c r="B1186" s="115" t="s">
        <v>3295</v>
      </c>
      <c r="C1186" s="116" t="s">
        <v>20</v>
      </c>
      <c r="D1186" s="116">
        <v>0</v>
      </c>
      <c r="E1186" s="136" t="s">
        <v>572</v>
      </c>
      <c r="F1186" s="137" t="str">
        <f t="shared" si="54"/>
        <v/>
      </c>
      <c r="G1186" s="138" t="e">
        <f>IF(A1186&lt;&gt;"",IF(AND(#REF!="Padrão",$H$4=#REF!),BDI!$B$17,IF(AND(#REF!="Padrão",$H$4=#REF!),BDI!#REF!,IF(AND(#REF!="Diferenciado",$H$4=#REF!),BDI!$E$17,IF(AND(#REF!="Diferenciado",$H$4=#REF!),BDI!#REF!,IF(#REF!="ZERO",0))))),"")</f>
        <v>#REF!</v>
      </c>
      <c r="H1186" s="139" t="str">
        <f t="shared" si="55"/>
        <v/>
      </c>
      <c r="I1186" s="137" t="str">
        <f t="shared" si="56"/>
        <v/>
      </c>
    </row>
    <row r="1187" spans="1:9" hidden="1" x14ac:dyDescent="0.25">
      <c r="A1187" s="114" t="s">
        <v>3296</v>
      </c>
      <c r="B1187" s="115" t="s">
        <v>3297</v>
      </c>
      <c r="C1187" s="116" t="s">
        <v>20</v>
      </c>
      <c r="D1187" s="116">
        <v>0</v>
      </c>
      <c r="E1187" s="136" t="s">
        <v>572</v>
      </c>
      <c r="F1187" s="137" t="str">
        <f t="shared" si="54"/>
        <v/>
      </c>
      <c r="G1187" s="138" t="e">
        <f>IF(A1187&lt;&gt;"",IF(AND(#REF!="Padrão",$H$4=#REF!),BDI!$B$17,IF(AND(#REF!="Padrão",$H$4=#REF!),BDI!#REF!,IF(AND(#REF!="Diferenciado",$H$4=#REF!),BDI!$E$17,IF(AND(#REF!="Diferenciado",$H$4=#REF!),BDI!#REF!,IF(#REF!="ZERO",0))))),"")</f>
        <v>#REF!</v>
      </c>
      <c r="H1187" s="139" t="str">
        <f t="shared" si="55"/>
        <v/>
      </c>
      <c r="I1187" s="137" t="str">
        <f t="shared" si="56"/>
        <v/>
      </c>
    </row>
    <row r="1188" spans="1:9" hidden="1" x14ac:dyDescent="0.25">
      <c r="A1188" s="114" t="s">
        <v>3298</v>
      </c>
      <c r="B1188" s="115" t="s">
        <v>3299</v>
      </c>
      <c r="C1188" s="116" t="s">
        <v>20</v>
      </c>
      <c r="D1188" s="116">
        <v>0</v>
      </c>
      <c r="E1188" s="136" t="s">
        <v>572</v>
      </c>
      <c r="F1188" s="137" t="str">
        <f t="shared" si="54"/>
        <v/>
      </c>
      <c r="G1188" s="138" t="e">
        <f>IF(A1188&lt;&gt;"",IF(AND(#REF!="Padrão",$H$4=#REF!),BDI!$B$17,IF(AND(#REF!="Padrão",$H$4=#REF!),BDI!#REF!,IF(AND(#REF!="Diferenciado",$H$4=#REF!),BDI!$E$17,IF(AND(#REF!="Diferenciado",$H$4=#REF!),BDI!#REF!,IF(#REF!="ZERO",0))))),"")</f>
        <v>#REF!</v>
      </c>
      <c r="H1188" s="139" t="str">
        <f t="shared" si="55"/>
        <v/>
      </c>
      <c r="I1188" s="137" t="str">
        <f t="shared" si="56"/>
        <v/>
      </c>
    </row>
    <row r="1189" spans="1:9" hidden="1" x14ac:dyDescent="0.25">
      <c r="A1189" s="114" t="s">
        <v>3300</v>
      </c>
      <c r="B1189" s="115" t="s">
        <v>3301</v>
      </c>
      <c r="C1189" s="116" t="s">
        <v>94</v>
      </c>
      <c r="D1189" s="116">
        <v>0</v>
      </c>
      <c r="E1189" s="136" t="s">
        <v>572</v>
      </c>
      <c r="F1189" s="137" t="str">
        <f t="shared" si="54"/>
        <v/>
      </c>
      <c r="G1189" s="138" t="e">
        <f>IF(A1189&lt;&gt;"",IF(AND(#REF!="Padrão",$H$4=#REF!),BDI!$B$17,IF(AND(#REF!="Padrão",$H$4=#REF!),BDI!#REF!,IF(AND(#REF!="Diferenciado",$H$4=#REF!),BDI!$E$17,IF(AND(#REF!="Diferenciado",$H$4=#REF!),BDI!#REF!,IF(#REF!="ZERO",0))))),"")</f>
        <v>#REF!</v>
      </c>
      <c r="H1189" s="139" t="str">
        <f t="shared" si="55"/>
        <v/>
      </c>
      <c r="I1189" s="137" t="str">
        <f t="shared" si="56"/>
        <v/>
      </c>
    </row>
    <row r="1190" spans="1:9" hidden="1" x14ac:dyDescent="0.25">
      <c r="A1190" s="114" t="s">
        <v>3302</v>
      </c>
      <c r="B1190" s="115" t="s">
        <v>3303</v>
      </c>
      <c r="C1190" s="116" t="s">
        <v>94</v>
      </c>
      <c r="D1190" s="116">
        <v>0</v>
      </c>
      <c r="E1190" s="136" t="s">
        <v>572</v>
      </c>
      <c r="F1190" s="137" t="str">
        <f t="shared" si="54"/>
        <v/>
      </c>
      <c r="G1190" s="138" t="e">
        <f>IF(A1190&lt;&gt;"",IF(AND(#REF!="Padrão",$H$4=#REF!),BDI!$B$17,IF(AND(#REF!="Padrão",$H$4=#REF!),BDI!#REF!,IF(AND(#REF!="Diferenciado",$H$4=#REF!),BDI!$E$17,IF(AND(#REF!="Diferenciado",$H$4=#REF!),BDI!#REF!,IF(#REF!="ZERO",0))))),"")</f>
        <v>#REF!</v>
      </c>
      <c r="H1190" s="139" t="str">
        <f t="shared" si="55"/>
        <v/>
      </c>
      <c r="I1190" s="137" t="str">
        <f t="shared" si="56"/>
        <v/>
      </c>
    </row>
    <row r="1191" spans="1:9" hidden="1" x14ac:dyDescent="0.25">
      <c r="A1191" s="114" t="s">
        <v>3304</v>
      </c>
      <c r="B1191" s="115" t="s">
        <v>3305</v>
      </c>
      <c r="C1191" s="116" t="s">
        <v>20</v>
      </c>
      <c r="D1191" s="116">
        <v>0</v>
      </c>
      <c r="E1191" s="136" t="s">
        <v>572</v>
      </c>
      <c r="F1191" s="137" t="str">
        <f t="shared" si="54"/>
        <v/>
      </c>
      <c r="G1191" s="138" t="e">
        <f>IF(A1191&lt;&gt;"",IF(AND(#REF!="Padrão",$H$4=#REF!),BDI!$B$17,IF(AND(#REF!="Padrão",$H$4=#REF!),BDI!#REF!,IF(AND(#REF!="Diferenciado",$H$4=#REF!),BDI!$E$17,IF(AND(#REF!="Diferenciado",$H$4=#REF!),BDI!#REF!,IF(#REF!="ZERO",0))))),"")</f>
        <v>#REF!</v>
      </c>
      <c r="H1191" s="139" t="str">
        <f t="shared" si="55"/>
        <v/>
      </c>
      <c r="I1191" s="137" t="str">
        <f t="shared" si="56"/>
        <v/>
      </c>
    </row>
    <row r="1192" spans="1:9" hidden="1" x14ac:dyDescent="0.25">
      <c r="A1192" s="114" t="s">
        <v>3306</v>
      </c>
      <c r="B1192" s="115" t="s">
        <v>3307</v>
      </c>
      <c r="C1192" s="116" t="s">
        <v>20</v>
      </c>
      <c r="D1192" s="116">
        <v>0</v>
      </c>
      <c r="E1192" s="136" t="s">
        <v>572</v>
      </c>
      <c r="F1192" s="137" t="str">
        <f t="shared" si="54"/>
        <v/>
      </c>
      <c r="G1192" s="138" t="e">
        <f>IF(A1192&lt;&gt;"",IF(AND(#REF!="Padrão",$H$4=#REF!),BDI!$B$17,IF(AND(#REF!="Padrão",$H$4=#REF!),BDI!#REF!,IF(AND(#REF!="Diferenciado",$H$4=#REF!),BDI!$E$17,IF(AND(#REF!="Diferenciado",$H$4=#REF!),BDI!#REF!,IF(#REF!="ZERO",0))))),"")</f>
        <v>#REF!</v>
      </c>
      <c r="H1192" s="139" t="str">
        <f t="shared" si="55"/>
        <v/>
      </c>
      <c r="I1192" s="137" t="str">
        <f t="shared" si="56"/>
        <v/>
      </c>
    </row>
    <row r="1193" spans="1:9" hidden="1" x14ac:dyDescent="0.25">
      <c r="A1193" s="114" t="s">
        <v>3308</v>
      </c>
      <c r="B1193" s="115" t="s">
        <v>3309</v>
      </c>
      <c r="C1193" s="116" t="s">
        <v>20</v>
      </c>
      <c r="D1193" s="116">
        <v>0</v>
      </c>
      <c r="E1193" s="136" t="s">
        <v>572</v>
      </c>
      <c r="F1193" s="137" t="str">
        <f t="shared" si="54"/>
        <v/>
      </c>
      <c r="G1193" s="138" t="e">
        <f>IF(A1193&lt;&gt;"",IF(AND(#REF!="Padrão",$H$4=#REF!),BDI!$B$17,IF(AND(#REF!="Padrão",$H$4=#REF!),BDI!#REF!,IF(AND(#REF!="Diferenciado",$H$4=#REF!),BDI!$E$17,IF(AND(#REF!="Diferenciado",$H$4=#REF!),BDI!#REF!,IF(#REF!="ZERO",0))))),"")</f>
        <v>#REF!</v>
      </c>
      <c r="H1193" s="139" t="str">
        <f t="shared" si="55"/>
        <v/>
      </c>
      <c r="I1193" s="137" t="str">
        <f t="shared" si="56"/>
        <v/>
      </c>
    </row>
    <row r="1194" spans="1:9" hidden="1" x14ac:dyDescent="0.25">
      <c r="A1194" s="114" t="s">
        <v>3310</v>
      </c>
      <c r="B1194" s="115" t="s">
        <v>3311</v>
      </c>
      <c r="C1194" s="116" t="s">
        <v>20</v>
      </c>
      <c r="D1194" s="116">
        <v>0</v>
      </c>
      <c r="E1194" s="136" t="s">
        <v>572</v>
      </c>
      <c r="F1194" s="137" t="str">
        <f t="shared" si="54"/>
        <v/>
      </c>
      <c r="G1194" s="138" t="e">
        <f>IF(A1194&lt;&gt;"",IF(AND(#REF!="Padrão",$H$4=#REF!),BDI!$B$17,IF(AND(#REF!="Padrão",$H$4=#REF!),BDI!#REF!,IF(AND(#REF!="Diferenciado",$H$4=#REF!),BDI!$E$17,IF(AND(#REF!="Diferenciado",$H$4=#REF!),BDI!#REF!,IF(#REF!="ZERO",0))))),"")</f>
        <v>#REF!</v>
      </c>
      <c r="H1194" s="139" t="str">
        <f t="shared" si="55"/>
        <v/>
      </c>
      <c r="I1194" s="137" t="str">
        <f t="shared" si="56"/>
        <v/>
      </c>
    </row>
    <row r="1195" spans="1:9" hidden="1" x14ac:dyDescent="0.25">
      <c r="A1195" s="114" t="s">
        <v>3312</v>
      </c>
      <c r="B1195" s="115" t="s">
        <v>3313</v>
      </c>
      <c r="C1195" s="116" t="s">
        <v>20</v>
      </c>
      <c r="D1195" s="116">
        <v>0</v>
      </c>
      <c r="E1195" s="136" t="s">
        <v>572</v>
      </c>
      <c r="F1195" s="137" t="str">
        <f t="shared" si="54"/>
        <v/>
      </c>
      <c r="G1195" s="138" t="e">
        <f>IF(A1195&lt;&gt;"",IF(AND(#REF!="Padrão",$H$4=#REF!),BDI!$B$17,IF(AND(#REF!="Padrão",$H$4=#REF!),BDI!#REF!,IF(AND(#REF!="Diferenciado",$H$4=#REF!),BDI!$E$17,IF(AND(#REF!="Diferenciado",$H$4=#REF!),BDI!#REF!,IF(#REF!="ZERO",0))))),"")</f>
        <v>#REF!</v>
      </c>
      <c r="H1195" s="139" t="str">
        <f t="shared" si="55"/>
        <v/>
      </c>
      <c r="I1195" s="137" t="str">
        <f t="shared" si="56"/>
        <v/>
      </c>
    </row>
    <row r="1196" spans="1:9" hidden="1" x14ac:dyDescent="0.25">
      <c r="A1196" s="114" t="s">
        <v>3314</v>
      </c>
      <c r="B1196" s="115" t="s">
        <v>3315</v>
      </c>
      <c r="C1196" s="116" t="s">
        <v>20</v>
      </c>
      <c r="D1196" s="116">
        <v>0</v>
      </c>
      <c r="E1196" s="136" t="s">
        <v>572</v>
      </c>
      <c r="F1196" s="137" t="str">
        <f t="shared" si="54"/>
        <v/>
      </c>
      <c r="G1196" s="138" t="e">
        <f>IF(A1196&lt;&gt;"",IF(AND(#REF!="Padrão",$H$4=#REF!),BDI!$B$17,IF(AND(#REF!="Padrão",$H$4=#REF!),BDI!#REF!,IF(AND(#REF!="Diferenciado",$H$4=#REF!),BDI!$E$17,IF(AND(#REF!="Diferenciado",$H$4=#REF!),BDI!#REF!,IF(#REF!="ZERO",0))))),"")</f>
        <v>#REF!</v>
      </c>
      <c r="H1196" s="139" t="str">
        <f t="shared" si="55"/>
        <v/>
      </c>
      <c r="I1196" s="137" t="str">
        <f t="shared" si="56"/>
        <v/>
      </c>
    </row>
    <row r="1197" spans="1:9" hidden="1" x14ac:dyDescent="0.25">
      <c r="A1197" s="114" t="s">
        <v>3316</v>
      </c>
      <c r="B1197" s="115" t="s">
        <v>3317</v>
      </c>
      <c r="C1197" s="116" t="s">
        <v>20</v>
      </c>
      <c r="D1197" s="116">
        <v>0</v>
      </c>
      <c r="E1197" s="136" t="s">
        <v>572</v>
      </c>
      <c r="F1197" s="137" t="str">
        <f t="shared" si="54"/>
        <v/>
      </c>
      <c r="G1197" s="138" t="e">
        <f>IF(A1197&lt;&gt;"",IF(AND(#REF!="Padrão",$H$4=#REF!),BDI!$B$17,IF(AND(#REF!="Padrão",$H$4=#REF!),BDI!#REF!,IF(AND(#REF!="Diferenciado",$H$4=#REF!),BDI!$E$17,IF(AND(#REF!="Diferenciado",$H$4=#REF!),BDI!#REF!,IF(#REF!="ZERO",0))))),"")</f>
        <v>#REF!</v>
      </c>
      <c r="H1197" s="139" t="str">
        <f t="shared" si="55"/>
        <v/>
      </c>
      <c r="I1197" s="137" t="str">
        <f t="shared" si="56"/>
        <v/>
      </c>
    </row>
    <row r="1198" spans="1:9" hidden="1" x14ac:dyDescent="0.25">
      <c r="A1198" s="114" t="s">
        <v>3318</v>
      </c>
      <c r="B1198" s="115" t="s">
        <v>3319</v>
      </c>
      <c r="C1198" s="116" t="s">
        <v>20</v>
      </c>
      <c r="D1198" s="116">
        <v>0</v>
      </c>
      <c r="E1198" s="136" t="s">
        <v>572</v>
      </c>
      <c r="F1198" s="137" t="str">
        <f t="shared" si="54"/>
        <v/>
      </c>
      <c r="G1198" s="138" t="e">
        <f>IF(A1198&lt;&gt;"",IF(AND(#REF!="Padrão",$H$4=#REF!),BDI!$B$17,IF(AND(#REF!="Padrão",$H$4=#REF!),BDI!#REF!,IF(AND(#REF!="Diferenciado",$H$4=#REF!),BDI!$E$17,IF(AND(#REF!="Diferenciado",$H$4=#REF!),BDI!#REF!,IF(#REF!="ZERO",0))))),"")</f>
        <v>#REF!</v>
      </c>
      <c r="H1198" s="139" t="str">
        <f t="shared" si="55"/>
        <v/>
      </c>
      <c r="I1198" s="137" t="str">
        <f t="shared" si="56"/>
        <v/>
      </c>
    </row>
    <row r="1199" spans="1:9" hidden="1" x14ac:dyDescent="0.25">
      <c r="A1199" s="114" t="s">
        <v>3320</v>
      </c>
      <c r="B1199" s="115" t="s">
        <v>3321</v>
      </c>
      <c r="C1199" s="116" t="s">
        <v>20</v>
      </c>
      <c r="D1199" s="116">
        <v>0</v>
      </c>
      <c r="E1199" s="136" t="s">
        <v>572</v>
      </c>
      <c r="F1199" s="137" t="str">
        <f t="shared" si="54"/>
        <v/>
      </c>
      <c r="G1199" s="138" t="e">
        <f>IF(A1199&lt;&gt;"",IF(AND(#REF!="Padrão",$H$4=#REF!),BDI!$B$17,IF(AND(#REF!="Padrão",$H$4=#REF!),BDI!#REF!,IF(AND(#REF!="Diferenciado",$H$4=#REF!),BDI!$E$17,IF(AND(#REF!="Diferenciado",$H$4=#REF!),BDI!#REF!,IF(#REF!="ZERO",0))))),"")</f>
        <v>#REF!</v>
      </c>
      <c r="H1199" s="139" t="str">
        <f t="shared" si="55"/>
        <v/>
      </c>
      <c r="I1199" s="137" t="str">
        <f t="shared" si="56"/>
        <v/>
      </c>
    </row>
    <row r="1200" spans="1:9" hidden="1" x14ac:dyDescent="0.25">
      <c r="A1200" s="114" t="s">
        <v>3322</v>
      </c>
      <c r="B1200" s="115" t="s">
        <v>3323</v>
      </c>
      <c r="C1200" s="116" t="s">
        <v>20</v>
      </c>
      <c r="D1200" s="116">
        <v>0</v>
      </c>
      <c r="E1200" s="136" t="s">
        <v>572</v>
      </c>
      <c r="F1200" s="137" t="str">
        <f t="shared" si="54"/>
        <v/>
      </c>
      <c r="G1200" s="138" t="e">
        <f>IF(A1200&lt;&gt;"",IF(AND(#REF!="Padrão",$H$4=#REF!),BDI!$B$17,IF(AND(#REF!="Padrão",$H$4=#REF!),BDI!#REF!,IF(AND(#REF!="Diferenciado",$H$4=#REF!),BDI!$E$17,IF(AND(#REF!="Diferenciado",$H$4=#REF!),BDI!#REF!,IF(#REF!="ZERO",0))))),"")</f>
        <v>#REF!</v>
      </c>
      <c r="H1200" s="139" t="str">
        <f t="shared" si="55"/>
        <v/>
      </c>
      <c r="I1200" s="137" t="str">
        <f t="shared" si="56"/>
        <v/>
      </c>
    </row>
    <row r="1201" spans="1:9" hidden="1" x14ac:dyDescent="0.25">
      <c r="A1201" s="114" t="s">
        <v>3324</v>
      </c>
      <c r="B1201" s="115" t="s">
        <v>3325</v>
      </c>
      <c r="C1201" s="116" t="s">
        <v>20</v>
      </c>
      <c r="D1201" s="116">
        <v>0</v>
      </c>
      <c r="E1201" s="136" t="s">
        <v>572</v>
      </c>
      <c r="F1201" s="137" t="str">
        <f t="shared" si="54"/>
        <v/>
      </c>
      <c r="G1201" s="138" t="e">
        <f>IF(A1201&lt;&gt;"",IF(AND(#REF!="Padrão",$H$4=#REF!),BDI!$B$17,IF(AND(#REF!="Padrão",$H$4=#REF!),BDI!#REF!,IF(AND(#REF!="Diferenciado",$H$4=#REF!),BDI!$E$17,IF(AND(#REF!="Diferenciado",$H$4=#REF!),BDI!#REF!,IF(#REF!="ZERO",0))))),"")</f>
        <v>#REF!</v>
      </c>
      <c r="H1201" s="139" t="str">
        <f t="shared" si="55"/>
        <v/>
      </c>
      <c r="I1201" s="137" t="str">
        <f t="shared" si="56"/>
        <v/>
      </c>
    </row>
    <row r="1202" spans="1:9" hidden="1" x14ac:dyDescent="0.25">
      <c r="A1202" s="114" t="s">
        <v>3326</v>
      </c>
      <c r="B1202" s="115" t="s">
        <v>3327</v>
      </c>
      <c r="C1202" s="116" t="s">
        <v>20</v>
      </c>
      <c r="D1202" s="116">
        <v>0</v>
      </c>
      <c r="E1202" s="136" t="s">
        <v>572</v>
      </c>
      <c r="F1202" s="137" t="str">
        <f t="shared" si="54"/>
        <v/>
      </c>
      <c r="G1202" s="138" t="e">
        <f>IF(A1202&lt;&gt;"",IF(AND(#REF!="Padrão",$H$4=#REF!),BDI!$B$17,IF(AND(#REF!="Padrão",$H$4=#REF!),BDI!#REF!,IF(AND(#REF!="Diferenciado",$H$4=#REF!),BDI!$E$17,IF(AND(#REF!="Diferenciado",$H$4=#REF!),BDI!#REF!,IF(#REF!="ZERO",0))))),"")</f>
        <v>#REF!</v>
      </c>
      <c r="H1202" s="139" t="str">
        <f t="shared" si="55"/>
        <v/>
      </c>
      <c r="I1202" s="137" t="str">
        <f t="shared" si="56"/>
        <v/>
      </c>
    </row>
    <row r="1203" spans="1:9" hidden="1" x14ac:dyDescent="0.25">
      <c r="A1203" s="114" t="s">
        <v>3328</v>
      </c>
      <c r="B1203" s="115" t="s">
        <v>3329</v>
      </c>
      <c r="C1203" s="116" t="s">
        <v>20</v>
      </c>
      <c r="D1203" s="116">
        <v>0</v>
      </c>
      <c r="E1203" s="136" t="s">
        <v>572</v>
      </c>
      <c r="F1203" s="137" t="str">
        <f t="shared" si="54"/>
        <v/>
      </c>
      <c r="G1203" s="138" t="e">
        <f>IF(A1203&lt;&gt;"",IF(AND(#REF!="Padrão",$H$4=#REF!),BDI!$B$17,IF(AND(#REF!="Padrão",$H$4=#REF!),BDI!#REF!,IF(AND(#REF!="Diferenciado",$H$4=#REF!),BDI!$E$17,IF(AND(#REF!="Diferenciado",$H$4=#REF!),BDI!#REF!,IF(#REF!="ZERO",0))))),"")</f>
        <v>#REF!</v>
      </c>
      <c r="H1203" s="139" t="str">
        <f t="shared" si="55"/>
        <v/>
      </c>
      <c r="I1203" s="137" t="str">
        <f t="shared" si="56"/>
        <v/>
      </c>
    </row>
    <row r="1204" spans="1:9" hidden="1" x14ac:dyDescent="0.25">
      <c r="A1204" s="114" t="s">
        <v>3330</v>
      </c>
      <c r="B1204" s="115" t="s">
        <v>3331</v>
      </c>
      <c r="C1204" s="116" t="s">
        <v>20</v>
      </c>
      <c r="D1204" s="116">
        <v>0</v>
      </c>
      <c r="E1204" s="136" t="s">
        <v>572</v>
      </c>
      <c r="F1204" s="137" t="str">
        <f t="shared" si="54"/>
        <v/>
      </c>
      <c r="G1204" s="138" t="e">
        <f>IF(A1204&lt;&gt;"",IF(AND(#REF!="Padrão",$H$4=#REF!),BDI!$B$17,IF(AND(#REF!="Padrão",$H$4=#REF!),BDI!#REF!,IF(AND(#REF!="Diferenciado",$H$4=#REF!),BDI!$E$17,IF(AND(#REF!="Diferenciado",$H$4=#REF!),BDI!#REF!,IF(#REF!="ZERO",0))))),"")</f>
        <v>#REF!</v>
      </c>
      <c r="H1204" s="139" t="str">
        <f t="shared" si="55"/>
        <v/>
      </c>
      <c r="I1204" s="137" t="str">
        <f t="shared" si="56"/>
        <v/>
      </c>
    </row>
    <row r="1205" spans="1:9" hidden="1" x14ac:dyDescent="0.25">
      <c r="A1205" s="114" t="s">
        <v>3332</v>
      </c>
      <c r="B1205" s="115" t="s">
        <v>3333</v>
      </c>
      <c r="C1205" s="116" t="s">
        <v>20</v>
      </c>
      <c r="D1205" s="116">
        <v>0</v>
      </c>
      <c r="E1205" s="136" t="s">
        <v>572</v>
      </c>
      <c r="F1205" s="137" t="str">
        <f t="shared" si="54"/>
        <v/>
      </c>
      <c r="G1205" s="138" t="e">
        <f>IF(A1205&lt;&gt;"",IF(AND(#REF!="Padrão",$H$4=#REF!),BDI!$B$17,IF(AND(#REF!="Padrão",$H$4=#REF!),BDI!#REF!,IF(AND(#REF!="Diferenciado",$H$4=#REF!),BDI!$E$17,IF(AND(#REF!="Diferenciado",$H$4=#REF!),BDI!#REF!,IF(#REF!="ZERO",0))))),"")</f>
        <v>#REF!</v>
      </c>
      <c r="H1205" s="139" t="str">
        <f t="shared" si="55"/>
        <v/>
      </c>
      <c r="I1205" s="137" t="str">
        <f t="shared" si="56"/>
        <v/>
      </c>
    </row>
    <row r="1206" spans="1:9" hidden="1" x14ac:dyDescent="0.25">
      <c r="A1206" s="114" t="s">
        <v>3334</v>
      </c>
      <c r="B1206" s="115" t="s">
        <v>3335</v>
      </c>
      <c r="C1206" s="116" t="s">
        <v>20</v>
      </c>
      <c r="D1206" s="116">
        <v>0</v>
      </c>
      <c r="E1206" s="136" t="s">
        <v>572</v>
      </c>
      <c r="F1206" s="137" t="str">
        <f t="shared" si="54"/>
        <v/>
      </c>
      <c r="G1206" s="138" t="e">
        <f>IF(A1206&lt;&gt;"",IF(AND(#REF!="Padrão",$H$4=#REF!),BDI!$B$17,IF(AND(#REF!="Padrão",$H$4=#REF!),BDI!#REF!,IF(AND(#REF!="Diferenciado",$H$4=#REF!),BDI!$E$17,IF(AND(#REF!="Diferenciado",$H$4=#REF!),BDI!#REF!,IF(#REF!="ZERO",0))))),"")</f>
        <v>#REF!</v>
      </c>
      <c r="H1206" s="139" t="str">
        <f t="shared" si="55"/>
        <v/>
      </c>
      <c r="I1206" s="137" t="str">
        <f t="shared" si="56"/>
        <v/>
      </c>
    </row>
    <row r="1207" spans="1:9" hidden="1" x14ac:dyDescent="0.25">
      <c r="A1207" s="114" t="s">
        <v>3336</v>
      </c>
      <c r="B1207" s="115" t="s">
        <v>3337</v>
      </c>
      <c r="C1207" s="116" t="s">
        <v>20</v>
      </c>
      <c r="D1207" s="116">
        <v>0</v>
      </c>
      <c r="E1207" s="136" t="s">
        <v>572</v>
      </c>
      <c r="F1207" s="137" t="str">
        <f t="shared" si="54"/>
        <v/>
      </c>
      <c r="G1207" s="138" t="e">
        <f>IF(A1207&lt;&gt;"",IF(AND(#REF!="Padrão",$H$4=#REF!),BDI!$B$17,IF(AND(#REF!="Padrão",$H$4=#REF!),BDI!#REF!,IF(AND(#REF!="Diferenciado",$H$4=#REF!),BDI!$E$17,IF(AND(#REF!="Diferenciado",$H$4=#REF!),BDI!#REF!,IF(#REF!="ZERO",0))))),"")</f>
        <v>#REF!</v>
      </c>
      <c r="H1207" s="139" t="str">
        <f t="shared" si="55"/>
        <v/>
      </c>
      <c r="I1207" s="137" t="str">
        <f t="shared" si="56"/>
        <v/>
      </c>
    </row>
    <row r="1208" spans="1:9" hidden="1" x14ac:dyDescent="0.25">
      <c r="A1208" s="114" t="s">
        <v>3338</v>
      </c>
      <c r="B1208" s="115" t="s">
        <v>3339</v>
      </c>
      <c r="C1208" s="116" t="s">
        <v>20</v>
      </c>
      <c r="D1208" s="116">
        <v>0</v>
      </c>
      <c r="E1208" s="136" t="s">
        <v>572</v>
      </c>
      <c r="F1208" s="137" t="str">
        <f t="shared" si="54"/>
        <v/>
      </c>
      <c r="G1208" s="138" t="e">
        <f>IF(A1208&lt;&gt;"",IF(AND(#REF!="Padrão",$H$4=#REF!),BDI!$B$17,IF(AND(#REF!="Padrão",$H$4=#REF!),BDI!#REF!,IF(AND(#REF!="Diferenciado",$H$4=#REF!),BDI!$E$17,IF(AND(#REF!="Diferenciado",$H$4=#REF!),BDI!#REF!,IF(#REF!="ZERO",0))))),"")</f>
        <v>#REF!</v>
      </c>
      <c r="H1208" s="139" t="str">
        <f t="shared" si="55"/>
        <v/>
      </c>
      <c r="I1208" s="137" t="str">
        <f t="shared" si="56"/>
        <v/>
      </c>
    </row>
    <row r="1209" spans="1:9" hidden="1" x14ac:dyDescent="0.25">
      <c r="A1209" s="114" t="s">
        <v>3340</v>
      </c>
      <c r="B1209" s="115" t="s">
        <v>3341</v>
      </c>
      <c r="C1209" s="116" t="s">
        <v>20</v>
      </c>
      <c r="D1209" s="116">
        <v>0</v>
      </c>
      <c r="E1209" s="136" t="s">
        <v>572</v>
      </c>
      <c r="F1209" s="137" t="str">
        <f t="shared" si="54"/>
        <v/>
      </c>
      <c r="G1209" s="138" t="e">
        <f>IF(A1209&lt;&gt;"",IF(AND(#REF!="Padrão",$H$4=#REF!),BDI!$B$17,IF(AND(#REF!="Padrão",$H$4=#REF!),BDI!#REF!,IF(AND(#REF!="Diferenciado",$H$4=#REF!),BDI!$E$17,IF(AND(#REF!="Diferenciado",$H$4=#REF!),BDI!#REF!,IF(#REF!="ZERO",0))))),"")</f>
        <v>#REF!</v>
      </c>
      <c r="H1209" s="139" t="str">
        <f t="shared" si="55"/>
        <v/>
      </c>
      <c r="I1209" s="137" t="str">
        <f t="shared" si="56"/>
        <v/>
      </c>
    </row>
    <row r="1210" spans="1:9" hidden="1" x14ac:dyDescent="0.25">
      <c r="A1210" s="114" t="s">
        <v>3342</v>
      </c>
      <c r="B1210" s="115" t="s">
        <v>3343</v>
      </c>
      <c r="C1210" s="116" t="s">
        <v>2828</v>
      </c>
      <c r="D1210" s="116">
        <v>0</v>
      </c>
      <c r="E1210" s="136" t="s">
        <v>572</v>
      </c>
      <c r="F1210" s="137" t="str">
        <f t="shared" si="54"/>
        <v/>
      </c>
      <c r="G1210" s="138" t="e">
        <f>IF(A1210&lt;&gt;"",IF(AND(#REF!="Padrão",$H$4=#REF!),BDI!$B$17,IF(AND(#REF!="Padrão",$H$4=#REF!),BDI!#REF!,IF(AND(#REF!="Diferenciado",$H$4=#REF!),BDI!$E$17,IF(AND(#REF!="Diferenciado",$H$4=#REF!),BDI!#REF!,IF(#REF!="ZERO",0))))),"")</f>
        <v>#REF!</v>
      </c>
      <c r="H1210" s="139" t="str">
        <f t="shared" si="55"/>
        <v/>
      </c>
      <c r="I1210" s="137" t="str">
        <f t="shared" si="56"/>
        <v/>
      </c>
    </row>
    <row r="1211" spans="1:9" hidden="1" x14ac:dyDescent="0.25">
      <c r="A1211" s="114" t="s">
        <v>3344</v>
      </c>
      <c r="B1211" s="115" t="s">
        <v>3345</v>
      </c>
      <c r="C1211" s="116" t="s">
        <v>20</v>
      </c>
      <c r="D1211" s="116">
        <v>0</v>
      </c>
      <c r="E1211" s="136" t="s">
        <v>572</v>
      </c>
      <c r="F1211" s="137" t="str">
        <f t="shared" si="54"/>
        <v/>
      </c>
      <c r="G1211" s="138" t="e">
        <f>IF(A1211&lt;&gt;"",IF(AND(#REF!="Padrão",$H$4=#REF!),BDI!$B$17,IF(AND(#REF!="Padrão",$H$4=#REF!),BDI!#REF!,IF(AND(#REF!="Diferenciado",$H$4=#REF!),BDI!$E$17,IF(AND(#REF!="Diferenciado",$H$4=#REF!),BDI!#REF!,IF(#REF!="ZERO",0))))),"")</f>
        <v>#REF!</v>
      </c>
      <c r="H1211" s="139" t="str">
        <f t="shared" si="55"/>
        <v/>
      </c>
      <c r="I1211" s="137" t="str">
        <f t="shared" si="56"/>
        <v/>
      </c>
    </row>
    <row r="1212" spans="1:9" hidden="1" x14ac:dyDescent="0.25">
      <c r="A1212" s="114" t="s">
        <v>3346</v>
      </c>
      <c r="B1212" s="115" t="s">
        <v>3347</v>
      </c>
      <c r="C1212" s="116" t="s">
        <v>20</v>
      </c>
      <c r="D1212" s="116">
        <v>0</v>
      </c>
      <c r="E1212" s="136" t="s">
        <v>572</v>
      </c>
      <c r="F1212" s="137" t="str">
        <f t="shared" si="54"/>
        <v/>
      </c>
      <c r="G1212" s="138" t="e">
        <f>IF(A1212&lt;&gt;"",IF(AND(#REF!="Padrão",$H$4=#REF!),BDI!$B$17,IF(AND(#REF!="Padrão",$H$4=#REF!),BDI!#REF!,IF(AND(#REF!="Diferenciado",$H$4=#REF!),BDI!$E$17,IF(AND(#REF!="Diferenciado",$H$4=#REF!),BDI!#REF!,IF(#REF!="ZERO",0))))),"")</f>
        <v>#REF!</v>
      </c>
      <c r="H1212" s="139" t="str">
        <f t="shared" si="55"/>
        <v/>
      </c>
      <c r="I1212" s="137" t="str">
        <f t="shared" si="56"/>
        <v/>
      </c>
    </row>
    <row r="1213" spans="1:9" hidden="1" x14ac:dyDescent="0.25">
      <c r="A1213" s="114" t="s">
        <v>3348</v>
      </c>
      <c r="B1213" s="115" t="s">
        <v>3349</v>
      </c>
      <c r="C1213" s="116" t="s">
        <v>20</v>
      </c>
      <c r="D1213" s="116">
        <v>0</v>
      </c>
      <c r="E1213" s="136" t="s">
        <v>572</v>
      </c>
      <c r="F1213" s="137" t="str">
        <f t="shared" si="54"/>
        <v/>
      </c>
      <c r="G1213" s="138" t="e">
        <f>IF(A1213&lt;&gt;"",IF(AND(#REF!="Padrão",$H$4=#REF!),BDI!$B$17,IF(AND(#REF!="Padrão",$H$4=#REF!),BDI!#REF!,IF(AND(#REF!="Diferenciado",$H$4=#REF!),BDI!$E$17,IF(AND(#REF!="Diferenciado",$H$4=#REF!),BDI!#REF!,IF(#REF!="ZERO",0))))),"")</f>
        <v>#REF!</v>
      </c>
      <c r="H1213" s="139" t="str">
        <f t="shared" si="55"/>
        <v/>
      </c>
      <c r="I1213" s="137" t="str">
        <f t="shared" si="56"/>
        <v/>
      </c>
    </row>
    <row r="1214" spans="1:9" hidden="1" x14ac:dyDescent="0.25">
      <c r="A1214" s="114" t="s">
        <v>3350</v>
      </c>
      <c r="B1214" s="115" t="s">
        <v>3351</v>
      </c>
      <c r="C1214" s="116" t="s">
        <v>20</v>
      </c>
      <c r="D1214" s="116">
        <v>0</v>
      </c>
      <c r="E1214" s="136" t="s">
        <v>572</v>
      </c>
      <c r="F1214" s="137" t="str">
        <f t="shared" si="54"/>
        <v/>
      </c>
      <c r="G1214" s="138" t="e">
        <f>IF(A1214&lt;&gt;"",IF(AND(#REF!="Padrão",$H$4=#REF!),BDI!$B$17,IF(AND(#REF!="Padrão",$H$4=#REF!),BDI!#REF!,IF(AND(#REF!="Diferenciado",$H$4=#REF!),BDI!$E$17,IF(AND(#REF!="Diferenciado",$H$4=#REF!),BDI!#REF!,IF(#REF!="ZERO",0))))),"")</f>
        <v>#REF!</v>
      </c>
      <c r="H1214" s="139" t="str">
        <f t="shared" si="55"/>
        <v/>
      </c>
      <c r="I1214" s="137" t="str">
        <f t="shared" si="56"/>
        <v/>
      </c>
    </row>
    <row r="1215" spans="1:9" hidden="1" x14ac:dyDescent="0.25">
      <c r="A1215" s="114" t="s">
        <v>3352</v>
      </c>
      <c r="B1215" s="115" t="s">
        <v>3353</v>
      </c>
      <c r="C1215" s="116" t="s">
        <v>20</v>
      </c>
      <c r="D1215" s="116">
        <v>0</v>
      </c>
      <c r="E1215" s="136" t="s">
        <v>572</v>
      </c>
      <c r="F1215" s="137" t="str">
        <f t="shared" si="54"/>
        <v/>
      </c>
      <c r="G1215" s="138" t="e">
        <f>IF(A1215&lt;&gt;"",IF(AND(#REF!="Padrão",$H$4=#REF!),BDI!$B$17,IF(AND(#REF!="Padrão",$H$4=#REF!),BDI!#REF!,IF(AND(#REF!="Diferenciado",$H$4=#REF!),BDI!$E$17,IF(AND(#REF!="Diferenciado",$H$4=#REF!),BDI!#REF!,IF(#REF!="ZERO",0))))),"")</f>
        <v>#REF!</v>
      </c>
      <c r="H1215" s="139" t="str">
        <f t="shared" si="55"/>
        <v/>
      </c>
      <c r="I1215" s="137" t="str">
        <f t="shared" si="56"/>
        <v/>
      </c>
    </row>
    <row r="1216" spans="1:9" hidden="1" x14ac:dyDescent="0.25">
      <c r="A1216" s="114" t="s">
        <v>3354</v>
      </c>
      <c r="B1216" s="115" t="s">
        <v>3355</v>
      </c>
      <c r="C1216" s="116" t="s">
        <v>20</v>
      </c>
      <c r="D1216" s="116">
        <v>0</v>
      </c>
      <c r="E1216" s="136" t="s">
        <v>572</v>
      </c>
      <c r="F1216" s="137" t="str">
        <f t="shared" si="54"/>
        <v/>
      </c>
      <c r="G1216" s="138" t="e">
        <f>IF(A1216&lt;&gt;"",IF(AND(#REF!="Padrão",$H$4=#REF!),BDI!$B$17,IF(AND(#REF!="Padrão",$H$4=#REF!),BDI!#REF!,IF(AND(#REF!="Diferenciado",$H$4=#REF!),BDI!$E$17,IF(AND(#REF!="Diferenciado",$H$4=#REF!),BDI!#REF!,IF(#REF!="ZERO",0))))),"")</f>
        <v>#REF!</v>
      </c>
      <c r="H1216" s="139" t="str">
        <f t="shared" si="55"/>
        <v/>
      </c>
      <c r="I1216" s="137" t="str">
        <f t="shared" si="56"/>
        <v/>
      </c>
    </row>
    <row r="1217" spans="1:9" hidden="1" x14ac:dyDescent="0.25">
      <c r="A1217" s="114" t="s">
        <v>3356</v>
      </c>
      <c r="B1217" s="115" t="s">
        <v>3357</v>
      </c>
      <c r="C1217" s="116" t="s">
        <v>632</v>
      </c>
      <c r="D1217" s="116">
        <v>0</v>
      </c>
      <c r="E1217" s="136" t="s">
        <v>572</v>
      </c>
      <c r="F1217" s="137" t="str">
        <f t="shared" si="54"/>
        <v/>
      </c>
      <c r="G1217" s="138" t="e">
        <f>IF(A1217&lt;&gt;"",IF(AND(#REF!="Padrão",$H$4=#REF!),BDI!$B$17,IF(AND(#REF!="Padrão",$H$4=#REF!),BDI!#REF!,IF(AND(#REF!="Diferenciado",$H$4=#REF!),BDI!$E$17,IF(AND(#REF!="Diferenciado",$H$4=#REF!),BDI!#REF!,IF(#REF!="ZERO",0))))),"")</f>
        <v>#REF!</v>
      </c>
      <c r="H1217" s="139" t="str">
        <f t="shared" si="55"/>
        <v/>
      </c>
      <c r="I1217" s="137" t="str">
        <f t="shared" si="56"/>
        <v/>
      </c>
    </row>
    <row r="1218" spans="1:9" hidden="1" x14ac:dyDescent="0.25">
      <c r="A1218" s="114" t="s">
        <v>3358</v>
      </c>
      <c r="B1218" s="115" t="s">
        <v>3359</v>
      </c>
      <c r="C1218" s="116" t="s">
        <v>20</v>
      </c>
      <c r="D1218" s="116">
        <v>0</v>
      </c>
      <c r="E1218" s="136" t="s">
        <v>572</v>
      </c>
      <c r="F1218" s="137" t="str">
        <f t="shared" si="54"/>
        <v/>
      </c>
      <c r="G1218" s="138" t="e">
        <f>IF(A1218&lt;&gt;"",IF(AND(#REF!="Padrão",$H$4=#REF!),BDI!$B$17,IF(AND(#REF!="Padrão",$H$4=#REF!),BDI!#REF!,IF(AND(#REF!="Diferenciado",$H$4=#REF!),BDI!$E$17,IF(AND(#REF!="Diferenciado",$H$4=#REF!),BDI!#REF!,IF(#REF!="ZERO",0))))),"")</f>
        <v>#REF!</v>
      </c>
      <c r="H1218" s="139" t="str">
        <f t="shared" si="55"/>
        <v/>
      </c>
      <c r="I1218" s="137" t="str">
        <f t="shared" si="56"/>
        <v/>
      </c>
    </row>
    <row r="1219" spans="1:9" hidden="1" x14ac:dyDescent="0.25">
      <c r="A1219" s="114" t="s">
        <v>3360</v>
      </c>
      <c r="B1219" s="115" t="s">
        <v>3361</v>
      </c>
      <c r="C1219" s="116" t="s">
        <v>20</v>
      </c>
      <c r="D1219" s="116">
        <v>0</v>
      </c>
      <c r="E1219" s="136" t="s">
        <v>572</v>
      </c>
      <c r="F1219" s="137" t="str">
        <f t="shared" si="54"/>
        <v/>
      </c>
      <c r="G1219" s="138" t="e">
        <f>IF(A1219&lt;&gt;"",IF(AND(#REF!="Padrão",$H$4=#REF!),BDI!$B$17,IF(AND(#REF!="Padrão",$H$4=#REF!),BDI!#REF!,IF(AND(#REF!="Diferenciado",$H$4=#REF!),BDI!$E$17,IF(AND(#REF!="Diferenciado",$H$4=#REF!),BDI!#REF!,IF(#REF!="ZERO",0))))),"")</f>
        <v>#REF!</v>
      </c>
      <c r="H1219" s="139" t="str">
        <f t="shared" si="55"/>
        <v/>
      </c>
      <c r="I1219" s="137" t="str">
        <f t="shared" si="56"/>
        <v/>
      </c>
    </row>
    <row r="1220" spans="1:9" hidden="1" x14ac:dyDescent="0.25">
      <c r="A1220" s="114" t="s">
        <v>3362</v>
      </c>
      <c r="B1220" s="115" t="s">
        <v>3363</v>
      </c>
      <c r="C1220" s="116" t="s">
        <v>20</v>
      </c>
      <c r="D1220" s="116">
        <v>0</v>
      </c>
      <c r="E1220" s="136" t="s">
        <v>572</v>
      </c>
      <c r="F1220" s="137" t="str">
        <f t="shared" si="54"/>
        <v/>
      </c>
      <c r="G1220" s="138" t="e">
        <f>IF(A1220&lt;&gt;"",IF(AND(#REF!="Padrão",$H$4=#REF!),BDI!$B$17,IF(AND(#REF!="Padrão",$H$4=#REF!),BDI!#REF!,IF(AND(#REF!="Diferenciado",$H$4=#REF!),BDI!$E$17,IF(AND(#REF!="Diferenciado",$H$4=#REF!),BDI!#REF!,IF(#REF!="ZERO",0))))),"")</f>
        <v>#REF!</v>
      </c>
      <c r="H1220" s="139" t="str">
        <f t="shared" si="55"/>
        <v/>
      </c>
      <c r="I1220" s="137" t="str">
        <f t="shared" si="56"/>
        <v/>
      </c>
    </row>
    <row r="1221" spans="1:9" hidden="1" x14ac:dyDescent="0.25">
      <c r="A1221" s="114" t="s">
        <v>3364</v>
      </c>
      <c r="B1221" s="115" t="s">
        <v>3365</v>
      </c>
      <c r="C1221" s="116" t="s">
        <v>20</v>
      </c>
      <c r="D1221" s="116">
        <v>0</v>
      </c>
      <c r="E1221" s="136" t="s">
        <v>572</v>
      </c>
      <c r="F1221" s="137" t="str">
        <f t="shared" si="54"/>
        <v/>
      </c>
      <c r="G1221" s="138" t="e">
        <f>IF(A1221&lt;&gt;"",IF(AND(#REF!="Padrão",$H$4=#REF!),BDI!$B$17,IF(AND(#REF!="Padrão",$H$4=#REF!),BDI!#REF!,IF(AND(#REF!="Diferenciado",$H$4=#REF!),BDI!$E$17,IF(AND(#REF!="Diferenciado",$H$4=#REF!),BDI!#REF!,IF(#REF!="ZERO",0))))),"")</f>
        <v>#REF!</v>
      </c>
      <c r="H1221" s="139" t="str">
        <f t="shared" si="55"/>
        <v/>
      </c>
      <c r="I1221" s="137" t="str">
        <f t="shared" si="56"/>
        <v/>
      </c>
    </row>
    <row r="1222" spans="1:9" hidden="1" x14ac:dyDescent="0.25">
      <c r="A1222" s="114" t="s">
        <v>3366</v>
      </c>
      <c r="B1222" s="115" t="s">
        <v>3367</v>
      </c>
      <c r="C1222" s="116" t="s">
        <v>20</v>
      </c>
      <c r="D1222" s="116">
        <v>0</v>
      </c>
      <c r="E1222" s="136" t="s">
        <v>572</v>
      </c>
      <c r="F1222" s="137" t="str">
        <f t="shared" si="54"/>
        <v/>
      </c>
      <c r="G1222" s="138" t="e">
        <f>IF(A1222&lt;&gt;"",IF(AND(#REF!="Padrão",$H$4=#REF!),BDI!$B$17,IF(AND(#REF!="Padrão",$H$4=#REF!),BDI!#REF!,IF(AND(#REF!="Diferenciado",$H$4=#REF!),BDI!$E$17,IF(AND(#REF!="Diferenciado",$H$4=#REF!),BDI!#REF!,IF(#REF!="ZERO",0))))),"")</f>
        <v>#REF!</v>
      </c>
      <c r="H1222" s="139" t="str">
        <f t="shared" si="55"/>
        <v/>
      </c>
      <c r="I1222" s="137" t="str">
        <f t="shared" si="56"/>
        <v/>
      </c>
    </row>
    <row r="1223" spans="1:9" hidden="1" x14ac:dyDescent="0.25">
      <c r="A1223" s="114" t="s">
        <v>3368</v>
      </c>
      <c r="B1223" s="115" t="s">
        <v>3369</v>
      </c>
      <c r="C1223" s="116" t="s">
        <v>632</v>
      </c>
      <c r="D1223" s="116">
        <v>0</v>
      </c>
      <c r="E1223" s="136" t="s">
        <v>572</v>
      </c>
      <c r="F1223" s="137" t="str">
        <f t="shared" ref="F1223:F1239" si="57">IF(ISNUMBER(E1223),D1223*E1223,"")</f>
        <v/>
      </c>
      <c r="G1223" s="138" t="e">
        <f>IF(A1223&lt;&gt;"",IF(AND(#REF!="Padrão",$H$4=#REF!),BDI!$B$17,IF(AND(#REF!="Padrão",$H$4=#REF!),BDI!#REF!,IF(AND(#REF!="Diferenciado",$H$4=#REF!),BDI!$E$17,IF(AND(#REF!="Diferenciado",$H$4=#REF!),BDI!#REF!,IF(#REF!="ZERO",0))))),"")</f>
        <v>#REF!</v>
      </c>
      <c r="H1223" s="139" t="str">
        <f t="shared" ref="H1223:H1239" si="58">IF(ISNUMBER(E1223),ROUND(E1223*(1+G1223),2),"")</f>
        <v/>
      </c>
      <c r="I1223" s="137" t="str">
        <f t="shared" ref="I1223:I1239" si="59">IF(ISNUMBER(E1223),ROUND(H1223*D1223,2),"")</f>
        <v/>
      </c>
    </row>
    <row r="1224" spans="1:9" hidden="1" x14ac:dyDescent="0.25">
      <c r="A1224" s="114" t="s">
        <v>3370</v>
      </c>
      <c r="B1224" s="115" t="s">
        <v>3371</v>
      </c>
      <c r="C1224" s="116" t="s">
        <v>20</v>
      </c>
      <c r="D1224" s="116">
        <v>0</v>
      </c>
      <c r="E1224" s="136" t="s">
        <v>572</v>
      </c>
      <c r="F1224" s="137" t="str">
        <f t="shared" si="57"/>
        <v/>
      </c>
      <c r="G1224" s="138" t="e">
        <f>IF(A1224&lt;&gt;"",IF(AND(#REF!="Padrão",$H$4=#REF!),BDI!$B$17,IF(AND(#REF!="Padrão",$H$4=#REF!),BDI!#REF!,IF(AND(#REF!="Diferenciado",$H$4=#REF!),BDI!$E$17,IF(AND(#REF!="Diferenciado",$H$4=#REF!),BDI!#REF!,IF(#REF!="ZERO",0))))),"")</f>
        <v>#REF!</v>
      </c>
      <c r="H1224" s="139" t="str">
        <f t="shared" si="58"/>
        <v/>
      </c>
      <c r="I1224" s="137" t="str">
        <f t="shared" si="59"/>
        <v/>
      </c>
    </row>
    <row r="1225" spans="1:9" hidden="1" x14ac:dyDescent="0.25">
      <c r="A1225" s="114" t="s">
        <v>3372</v>
      </c>
      <c r="B1225" s="115" t="s">
        <v>3373</v>
      </c>
      <c r="C1225" s="116" t="s">
        <v>20</v>
      </c>
      <c r="D1225" s="116">
        <v>0</v>
      </c>
      <c r="E1225" s="136" t="s">
        <v>572</v>
      </c>
      <c r="F1225" s="137" t="str">
        <f t="shared" si="57"/>
        <v/>
      </c>
      <c r="G1225" s="138" t="e">
        <f>IF(A1225&lt;&gt;"",IF(AND(#REF!="Padrão",$H$4=#REF!),BDI!$B$17,IF(AND(#REF!="Padrão",$H$4=#REF!),BDI!#REF!,IF(AND(#REF!="Diferenciado",$H$4=#REF!),BDI!$E$17,IF(AND(#REF!="Diferenciado",$H$4=#REF!),BDI!#REF!,IF(#REF!="ZERO",0))))),"")</f>
        <v>#REF!</v>
      </c>
      <c r="H1225" s="139" t="str">
        <f t="shared" si="58"/>
        <v/>
      </c>
      <c r="I1225" s="137" t="str">
        <f t="shared" si="59"/>
        <v/>
      </c>
    </row>
    <row r="1226" spans="1:9" hidden="1" x14ac:dyDescent="0.25">
      <c r="A1226" s="114" t="s">
        <v>3374</v>
      </c>
      <c r="B1226" s="115" t="s">
        <v>3375</v>
      </c>
      <c r="C1226" s="116" t="s">
        <v>20</v>
      </c>
      <c r="D1226" s="116">
        <v>0</v>
      </c>
      <c r="E1226" s="136" t="s">
        <v>572</v>
      </c>
      <c r="F1226" s="137" t="str">
        <f t="shared" si="57"/>
        <v/>
      </c>
      <c r="G1226" s="138" t="e">
        <f>IF(A1226&lt;&gt;"",IF(AND(#REF!="Padrão",$H$4=#REF!),BDI!$B$17,IF(AND(#REF!="Padrão",$H$4=#REF!),BDI!#REF!,IF(AND(#REF!="Diferenciado",$H$4=#REF!),BDI!$E$17,IF(AND(#REF!="Diferenciado",$H$4=#REF!),BDI!#REF!,IF(#REF!="ZERO",0))))),"")</f>
        <v>#REF!</v>
      </c>
      <c r="H1226" s="139" t="str">
        <f t="shared" si="58"/>
        <v/>
      </c>
      <c r="I1226" s="137" t="str">
        <f t="shared" si="59"/>
        <v/>
      </c>
    </row>
    <row r="1227" spans="1:9" hidden="1" x14ac:dyDescent="0.25">
      <c r="A1227" s="114" t="s">
        <v>3376</v>
      </c>
      <c r="B1227" s="115" t="s">
        <v>3377</v>
      </c>
      <c r="C1227" s="116" t="s">
        <v>20</v>
      </c>
      <c r="D1227" s="116">
        <v>0</v>
      </c>
      <c r="E1227" s="136" t="s">
        <v>572</v>
      </c>
      <c r="F1227" s="137" t="str">
        <f t="shared" si="57"/>
        <v/>
      </c>
      <c r="G1227" s="138" t="e">
        <f>IF(A1227&lt;&gt;"",IF(AND(#REF!="Padrão",$H$4=#REF!),BDI!$B$17,IF(AND(#REF!="Padrão",$H$4=#REF!),BDI!#REF!,IF(AND(#REF!="Diferenciado",$H$4=#REF!),BDI!$E$17,IF(AND(#REF!="Diferenciado",$H$4=#REF!),BDI!#REF!,IF(#REF!="ZERO",0))))),"")</f>
        <v>#REF!</v>
      </c>
      <c r="H1227" s="139" t="str">
        <f t="shared" si="58"/>
        <v/>
      </c>
      <c r="I1227" s="137" t="str">
        <f t="shared" si="59"/>
        <v/>
      </c>
    </row>
    <row r="1228" spans="1:9" hidden="1" x14ac:dyDescent="0.25">
      <c r="A1228" s="114" t="s">
        <v>3378</v>
      </c>
      <c r="B1228" s="115" t="s">
        <v>3379</v>
      </c>
      <c r="C1228" s="116" t="s">
        <v>94</v>
      </c>
      <c r="D1228" s="116">
        <v>0</v>
      </c>
      <c r="E1228" s="136" t="s">
        <v>572</v>
      </c>
      <c r="F1228" s="137" t="str">
        <f t="shared" si="57"/>
        <v/>
      </c>
      <c r="G1228" s="138" t="e">
        <f>IF(A1228&lt;&gt;"",IF(AND(#REF!="Padrão",$H$4=#REF!),BDI!$B$17,IF(AND(#REF!="Padrão",$H$4=#REF!),BDI!#REF!,IF(AND(#REF!="Diferenciado",$H$4=#REF!),BDI!$E$17,IF(AND(#REF!="Diferenciado",$H$4=#REF!),BDI!#REF!,IF(#REF!="ZERO",0))))),"")</f>
        <v>#REF!</v>
      </c>
      <c r="H1228" s="139" t="str">
        <f t="shared" si="58"/>
        <v/>
      </c>
      <c r="I1228" s="137" t="str">
        <f t="shared" si="59"/>
        <v/>
      </c>
    </row>
    <row r="1229" spans="1:9" hidden="1" x14ac:dyDescent="0.25">
      <c r="A1229" s="114" t="s">
        <v>3380</v>
      </c>
      <c r="B1229" s="115" t="s">
        <v>3381</v>
      </c>
      <c r="C1229" s="116" t="s">
        <v>20</v>
      </c>
      <c r="D1229" s="116">
        <v>0</v>
      </c>
      <c r="E1229" s="136" t="s">
        <v>572</v>
      </c>
      <c r="F1229" s="137" t="str">
        <f t="shared" si="57"/>
        <v/>
      </c>
      <c r="G1229" s="138" t="e">
        <f>IF(A1229&lt;&gt;"",IF(AND(#REF!="Padrão",$H$4=#REF!),BDI!$B$17,IF(AND(#REF!="Padrão",$H$4=#REF!),BDI!#REF!,IF(AND(#REF!="Diferenciado",$H$4=#REF!),BDI!$E$17,IF(AND(#REF!="Diferenciado",$H$4=#REF!),BDI!#REF!,IF(#REF!="ZERO",0))))),"")</f>
        <v>#REF!</v>
      </c>
      <c r="H1229" s="139" t="str">
        <f t="shared" si="58"/>
        <v/>
      </c>
      <c r="I1229" s="137" t="str">
        <f t="shared" si="59"/>
        <v/>
      </c>
    </row>
    <row r="1230" spans="1:9" hidden="1" x14ac:dyDescent="0.25">
      <c r="A1230" s="114" t="s">
        <v>3382</v>
      </c>
      <c r="B1230" s="115" t="s">
        <v>3383</v>
      </c>
      <c r="C1230" s="116" t="s">
        <v>96</v>
      </c>
      <c r="D1230" s="116">
        <v>0</v>
      </c>
      <c r="E1230" s="136" t="s">
        <v>572</v>
      </c>
      <c r="F1230" s="137" t="str">
        <f t="shared" si="57"/>
        <v/>
      </c>
      <c r="G1230" s="138" t="e">
        <f>IF(A1230&lt;&gt;"",IF(AND(#REF!="Padrão",$H$4=#REF!),BDI!$B$17,IF(AND(#REF!="Padrão",$H$4=#REF!),BDI!#REF!,IF(AND(#REF!="Diferenciado",$H$4=#REF!),BDI!$E$17,IF(AND(#REF!="Diferenciado",$H$4=#REF!),BDI!#REF!,IF(#REF!="ZERO",0))))),"")</f>
        <v>#REF!</v>
      </c>
      <c r="H1230" s="139" t="str">
        <f t="shared" si="58"/>
        <v/>
      </c>
      <c r="I1230" s="137" t="str">
        <f t="shared" si="59"/>
        <v/>
      </c>
    </row>
    <row r="1231" spans="1:9" hidden="1" x14ac:dyDescent="0.25">
      <c r="A1231" s="114" t="s">
        <v>3384</v>
      </c>
      <c r="B1231" s="115" t="s">
        <v>3385</v>
      </c>
      <c r="C1231" s="116" t="s">
        <v>1970</v>
      </c>
      <c r="D1231" s="116">
        <v>0</v>
      </c>
      <c r="E1231" s="136" t="s">
        <v>572</v>
      </c>
      <c r="F1231" s="137" t="str">
        <f t="shared" si="57"/>
        <v/>
      </c>
      <c r="G1231" s="138" t="e">
        <f>IF(A1231&lt;&gt;"",IF(AND(#REF!="Padrão",$H$4=#REF!),BDI!$B$17,IF(AND(#REF!="Padrão",$H$4=#REF!),BDI!#REF!,IF(AND(#REF!="Diferenciado",$H$4=#REF!),BDI!$E$17,IF(AND(#REF!="Diferenciado",$H$4=#REF!),BDI!#REF!,IF(#REF!="ZERO",0))))),"")</f>
        <v>#REF!</v>
      </c>
      <c r="H1231" s="139" t="str">
        <f t="shared" si="58"/>
        <v/>
      </c>
      <c r="I1231" s="137" t="str">
        <f t="shared" si="59"/>
        <v/>
      </c>
    </row>
    <row r="1232" spans="1:9" ht="38.25" hidden="1" x14ac:dyDescent="0.25">
      <c r="A1232" s="114" t="s">
        <v>3386</v>
      </c>
      <c r="B1232" s="115" t="s">
        <v>3387</v>
      </c>
      <c r="C1232" s="116" t="s">
        <v>20</v>
      </c>
      <c r="D1232" s="116">
        <v>0</v>
      </c>
      <c r="E1232" s="136" t="s">
        <v>572</v>
      </c>
      <c r="F1232" s="137" t="str">
        <f t="shared" si="57"/>
        <v/>
      </c>
      <c r="G1232" s="138" t="e">
        <f>IF(A1232&lt;&gt;"",IF(AND(#REF!="Padrão",$H$4=#REF!),BDI!$B$17,IF(AND(#REF!="Padrão",$H$4=#REF!),BDI!#REF!,IF(AND(#REF!="Diferenciado",$H$4=#REF!),BDI!$E$17,IF(AND(#REF!="Diferenciado",$H$4=#REF!),BDI!#REF!,IF(#REF!="ZERO",0))))),"")</f>
        <v>#REF!</v>
      </c>
      <c r="H1232" s="139" t="str">
        <f t="shared" si="58"/>
        <v/>
      </c>
      <c r="I1232" s="137" t="str">
        <f t="shared" si="59"/>
        <v/>
      </c>
    </row>
    <row r="1233" spans="1:9" ht="38.25" hidden="1" x14ac:dyDescent="0.25">
      <c r="A1233" s="114" t="s">
        <v>3388</v>
      </c>
      <c r="B1233" s="115" t="s">
        <v>3389</v>
      </c>
      <c r="C1233" s="116" t="s">
        <v>20</v>
      </c>
      <c r="D1233" s="116">
        <v>0</v>
      </c>
      <c r="E1233" s="136" t="s">
        <v>572</v>
      </c>
      <c r="F1233" s="137" t="str">
        <f t="shared" si="57"/>
        <v/>
      </c>
      <c r="G1233" s="138" t="e">
        <f>IF(A1233&lt;&gt;"",IF(AND(#REF!="Padrão",$H$4=#REF!),BDI!$B$17,IF(AND(#REF!="Padrão",$H$4=#REF!),BDI!#REF!,IF(AND(#REF!="Diferenciado",$H$4=#REF!),BDI!$E$17,IF(AND(#REF!="Diferenciado",$H$4=#REF!),BDI!#REF!,IF(#REF!="ZERO",0))))),"")</f>
        <v>#REF!</v>
      </c>
      <c r="H1233" s="139" t="str">
        <f t="shared" si="58"/>
        <v/>
      </c>
      <c r="I1233" s="137" t="str">
        <f t="shared" si="59"/>
        <v/>
      </c>
    </row>
    <row r="1234" spans="1:9" hidden="1" x14ac:dyDescent="0.25">
      <c r="A1234" s="114" t="s">
        <v>3390</v>
      </c>
      <c r="B1234" s="115" t="s">
        <v>3391</v>
      </c>
      <c r="C1234" s="116" t="s">
        <v>20</v>
      </c>
      <c r="D1234" s="116">
        <v>0</v>
      </c>
      <c r="E1234" s="136" t="s">
        <v>572</v>
      </c>
      <c r="F1234" s="137" t="str">
        <f t="shared" si="57"/>
        <v/>
      </c>
      <c r="G1234" s="138" t="e">
        <f>IF(A1234&lt;&gt;"",IF(AND(#REF!="Padrão",$H$4=#REF!),BDI!$B$17,IF(AND(#REF!="Padrão",$H$4=#REF!),BDI!#REF!,IF(AND(#REF!="Diferenciado",$H$4=#REF!),BDI!$E$17,IF(AND(#REF!="Diferenciado",$H$4=#REF!),BDI!#REF!,IF(#REF!="ZERO",0))))),"")</f>
        <v>#REF!</v>
      </c>
      <c r="H1234" s="139" t="str">
        <f t="shared" si="58"/>
        <v/>
      </c>
      <c r="I1234" s="137" t="str">
        <f t="shared" si="59"/>
        <v/>
      </c>
    </row>
    <row r="1235" spans="1:9" hidden="1" x14ac:dyDescent="0.25">
      <c r="A1235" s="114" t="s">
        <v>3392</v>
      </c>
      <c r="B1235" s="115" t="s">
        <v>3393</v>
      </c>
      <c r="C1235" s="116" t="s">
        <v>20</v>
      </c>
      <c r="D1235" s="116">
        <v>0</v>
      </c>
      <c r="E1235" s="136" t="s">
        <v>572</v>
      </c>
      <c r="F1235" s="137" t="str">
        <f t="shared" si="57"/>
        <v/>
      </c>
      <c r="G1235" s="138" t="e">
        <f>IF(A1235&lt;&gt;"",IF(AND(#REF!="Padrão",$H$4=#REF!),BDI!$B$17,IF(AND(#REF!="Padrão",$H$4=#REF!),BDI!#REF!,IF(AND(#REF!="Diferenciado",$H$4=#REF!),BDI!$E$17,IF(AND(#REF!="Diferenciado",$H$4=#REF!),BDI!#REF!,IF(#REF!="ZERO",0))))),"")</f>
        <v>#REF!</v>
      </c>
      <c r="H1235" s="139" t="str">
        <f t="shared" si="58"/>
        <v/>
      </c>
      <c r="I1235" s="137" t="str">
        <f t="shared" si="59"/>
        <v/>
      </c>
    </row>
    <row r="1236" spans="1:9" hidden="1" x14ac:dyDescent="0.25">
      <c r="A1236" s="114" t="s">
        <v>3394</v>
      </c>
      <c r="B1236" s="115" t="s">
        <v>3395</v>
      </c>
      <c r="C1236" s="116" t="s">
        <v>20</v>
      </c>
      <c r="D1236" s="116">
        <v>0</v>
      </c>
      <c r="E1236" s="136" t="s">
        <v>572</v>
      </c>
      <c r="F1236" s="137" t="str">
        <f t="shared" si="57"/>
        <v/>
      </c>
      <c r="G1236" s="138" t="e">
        <f>IF(A1236&lt;&gt;"",IF(AND(#REF!="Padrão",$H$4=#REF!),BDI!$B$17,IF(AND(#REF!="Padrão",$H$4=#REF!),BDI!#REF!,IF(AND(#REF!="Diferenciado",$H$4=#REF!),BDI!$E$17,IF(AND(#REF!="Diferenciado",$H$4=#REF!),BDI!#REF!,IF(#REF!="ZERO",0))))),"")</f>
        <v>#REF!</v>
      </c>
      <c r="H1236" s="139" t="str">
        <f t="shared" si="58"/>
        <v/>
      </c>
      <c r="I1236" s="137" t="str">
        <f t="shared" si="59"/>
        <v/>
      </c>
    </row>
    <row r="1237" spans="1:9" hidden="1" x14ac:dyDescent="0.25">
      <c r="A1237" s="114" t="s">
        <v>1504</v>
      </c>
      <c r="B1237" s="115" t="s">
        <v>3396</v>
      </c>
      <c r="C1237" s="116" t="s">
        <v>96</v>
      </c>
      <c r="D1237" s="116">
        <v>0</v>
      </c>
      <c r="E1237" s="136">
        <f ca="1">OFFSET(INDEX(Composições!A:J,MATCH(Orçamentária!A1237,Composições!A:A,0),8),2,0)</f>
        <v>12.232200000000001</v>
      </c>
      <c r="F1237" s="137">
        <f t="shared" ca="1" si="57"/>
        <v>0</v>
      </c>
      <c r="G1237" s="138" t="e">
        <f>IF(A1237&lt;&gt;"",IF(AND(#REF!="Padrão",$H$4=#REF!),BDI!$B$17,IF(AND(#REF!="Padrão",$H$4=#REF!),BDI!#REF!,IF(AND(#REF!="Diferenciado",$H$4=#REF!),BDI!$E$17,IF(AND(#REF!="Diferenciado",$H$4=#REF!),BDI!#REF!,IF(#REF!="ZERO",0))))),"")</f>
        <v>#REF!</v>
      </c>
      <c r="H1237" s="139" t="e">
        <f t="shared" ca="1" si="58"/>
        <v>#REF!</v>
      </c>
      <c r="I1237" s="137" t="e">
        <f t="shared" ca="1" si="59"/>
        <v>#REF!</v>
      </c>
    </row>
    <row r="1238" spans="1:9" hidden="1" x14ac:dyDescent="0.25">
      <c r="A1238" s="114" t="s">
        <v>1508</v>
      </c>
      <c r="B1238" s="115" t="s">
        <v>3397</v>
      </c>
      <c r="C1238" s="116" t="s">
        <v>96</v>
      </c>
      <c r="D1238" s="116">
        <v>0</v>
      </c>
      <c r="E1238" s="136">
        <f ca="1">OFFSET(INDEX(Composições!A:J,MATCH(Orçamentária!A1238,Composições!A:A,0),8),2,0)</f>
        <v>1.8520250000000003</v>
      </c>
      <c r="F1238" s="137">
        <f t="shared" ca="1" si="57"/>
        <v>0</v>
      </c>
      <c r="G1238" s="138" t="e">
        <f>IF(A1238&lt;&gt;"",IF(AND(#REF!="Padrão",$H$4=#REF!),BDI!$B$17,IF(AND(#REF!="Padrão",$H$4=#REF!),BDI!#REF!,IF(AND(#REF!="Diferenciado",$H$4=#REF!),BDI!$E$17,IF(AND(#REF!="Diferenciado",$H$4=#REF!),BDI!#REF!,IF(#REF!="ZERO",0))))),"")</f>
        <v>#REF!</v>
      </c>
      <c r="H1238" s="139" t="e">
        <f t="shared" ca="1" si="58"/>
        <v>#REF!</v>
      </c>
      <c r="I1238" s="137" t="e">
        <f t="shared" ca="1" si="59"/>
        <v>#REF!</v>
      </c>
    </row>
    <row r="1239" spans="1:9" hidden="1" x14ac:dyDescent="0.25">
      <c r="A1239" s="114" t="s">
        <v>3398</v>
      </c>
      <c r="B1239" s="115" t="s">
        <v>3399</v>
      </c>
      <c r="C1239" s="116" t="s">
        <v>20</v>
      </c>
      <c r="D1239" s="116">
        <v>0</v>
      </c>
      <c r="E1239" s="136" t="s">
        <v>572</v>
      </c>
      <c r="F1239" s="137" t="str">
        <f t="shared" si="57"/>
        <v/>
      </c>
      <c r="G1239" s="138" t="e">
        <f>IF(A1239&lt;&gt;"",IF(AND(#REF!="Padrão",$H$4=#REF!),BDI!$B$17,IF(AND(#REF!="Padrão",$H$4=#REF!),BDI!#REF!,IF(AND(#REF!="Diferenciado",$H$4=#REF!),BDI!$E$17,IF(AND(#REF!="Diferenciado",$H$4=#REF!),BDI!#REF!,IF(#REF!="ZERO",0))))),"")</f>
        <v>#REF!</v>
      </c>
      <c r="H1239" s="139" t="str">
        <f t="shared" si="58"/>
        <v/>
      </c>
      <c r="I1239" s="137" t="str">
        <f t="shared" si="59"/>
        <v/>
      </c>
    </row>
    <row r="1240" spans="1:9" hidden="1" x14ac:dyDescent="0.25">
      <c r="A1240" s="114" t="s">
        <v>3491</v>
      </c>
      <c r="B1240" s="115" t="s">
        <v>3548</v>
      </c>
      <c r="C1240" s="116" t="s">
        <v>20</v>
      </c>
      <c r="D1240" s="116">
        <v>0</v>
      </c>
      <c r="E1240" s="136">
        <f ca="1">OFFSET(INDEX(Composições!A:J,MATCH(Orçamentária!A1240,Composições!A:A,0),8),2,0)</f>
        <v>1049.7943661399995</v>
      </c>
      <c r="F1240" s="137">
        <f t="shared" ref="F1240:F1291" ca="1" si="60">IF(ISNUMBER(E1240),D1240*E1240,"")</f>
        <v>0</v>
      </c>
      <c r="G1240" s="138" t="e">
        <f>IF(A1240&lt;&gt;"",IF(AND(#REF!="Padrão",$H$4=#REF!),BDI!$B$17,IF(AND(#REF!="Padrão",$H$4=#REF!),BDI!#REF!,IF(AND(#REF!="Diferenciado",$H$4=#REF!),BDI!$E$17,IF(AND(#REF!="Diferenciado",$H$4=#REF!),BDI!#REF!,IF(#REF!="ZERO",0))))),"")</f>
        <v>#REF!</v>
      </c>
      <c r="H1240" s="139" t="e">
        <f t="shared" ref="H1240:H1291" ca="1" si="61">IF(ISNUMBER(E1240),ROUND(E1240*(1+G1240),2),"")</f>
        <v>#REF!</v>
      </c>
      <c r="I1240" s="137" t="e">
        <f t="shared" ref="I1240:I1291" ca="1" si="62">IF(ISNUMBER(E1240),ROUND(H1240*D1240,2),"")</f>
        <v>#REF!</v>
      </c>
    </row>
    <row r="1241" spans="1:9" hidden="1" x14ac:dyDescent="0.25">
      <c r="A1241" s="114" t="s">
        <v>3492</v>
      </c>
      <c r="B1241" s="115" t="s">
        <v>3549</v>
      </c>
      <c r="C1241" s="116" t="s">
        <v>20</v>
      </c>
      <c r="D1241" s="116">
        <v>0</v>
      </c>
      <c r="E1241" s="136">
        <f ca="1">OFFSET(INDEX(Composições!A:J,MATCH(Orçamentária!A1241,Composições!A:A,0),8),2,0)</f>
        <v>1088.8443262166663</v>
      </c>
      <c r="F1241" s="137">
        <f t="shared" ca="1" si="60"/>
        <v>0</v>
      </c>
      <c r="G1241" s="138" t="e">
        <f>IF(A1241&lt;&gt;"",IF(AND(#REF!="Padrão",$H$4=#REF!),BDI!$B$17,IF(AND(#REF!="Padrão",$H$4=#REF!),BDI!#REF!,IF(AND(#REF!="Diferenciado",$H$4=#REF!),BDI!$E$17,IF(AND(#REF!="Diferenciado",$H$4=#REF!),BDI!#REF!,IF(#REF!="ZERO",0))))),"")</f>
        <v>#REF!</v>
      </c>
      <c r="H1241" s="139" t="e">
        <f t="shared" ca="1" si="61"/>
        <v>#REF!</v>
      </c>
      <c r="I1241" s="137" t="e">
        <f t="shared" ca="1" si="62"/>
        <v>#REF!</v>
      </c>
    </row>
    <row r="1242" spans="1:9" hidden="1" x14ac:dyDescent="0.25">
      <c r="A1242" s="114" t="s">
        <v>3493</v>
      </c>
      <c r="B1242" s="115" t="s">
        <v>3550</v>
      </c>
      <c r="C1242" s="116" t="s">
        <v>20</v>
      </c>
      <c r="D1242" s="116">
        <v>0</v>
      </c>
      <c r="E1242" s="136" t="s">
        <v>572</v>
      </c>
      <c r="F1242" s="137" t="str">
        <f t="shared" si="60"/>
        <v/>
      </c>
      <c r="G1242" s="138" t="e">
        <f>IF(A1242&lt;&gt;"",IF(AND(#REF!="Padrão",$H$4=#REF!),BDI!$B$17,IF(AND(#REF!="Padrão",$H$4=#REF!),BDI!#REF!,IF(AND(#REF!="Diferenciado",$H$4=#REF!),BDI!$E$17,IF(AND(#REF!="Diferenciado",$H$4=#REF!),BDI!#REF!,IF(#REF!="ZERO",0))))),"")</f>
        <v>#REF!</v>
      </c>
      <c r="H1242" s="139" t="str">
        <f t="shared" si="61"/>
        <v/>
      </c>
      <c r="I1242" s="137" t="str">
        <f t="shared" si="62"/>
        <v/>
      </c>
    </row>
    <row r="1243" spans="1:9" hidden="1" x14ac:dyDescent="0.25">
      <c r="A1243" s="114" t="s">
        <v>3494</v>
      </c>
      <c r="B1243" s="115" t="s">
        <v>3551</v>
      </c>
      <c r="C1243" s="116" t="s">
        <v>20</v>
      </c>
      <c r="D1243" s="116">
        <v>0</v>
      </c>
      <c r="E1243" s="136" t="s">
        <v>572</v>
      </c>
      <c r="F1243" s="137" t="str">
        <f t="shared" si="60"/>
        <v/>
      </c>
      <c r="G1243" s="138" t="e">
        <f>IF(A1243&lt;&gt;"",IF(AND(#REF!="Padrão",$H$4=#REF!),BDI!$B$17,IF(AND(#REF!="Padrão",$H$4=#REF!),BDI!#REF!,IF(AND(#REF!="Diferenciado",$H$4=#REF!),BDI!$E$17,IF(AND(#REF!="Diferenciado",$H$4=#REF!),BDI!#REF!,IF(#REF!="ZERO",0))))),"")</f>
        <v>#REF!</v>
      </c>
      <c r="H1243" s="139" t="str">
        <f t="shared" si="61"/>
        <v/>
      </c>
      <c r="I1243" s="137" t="str">
        <f t="shared" si="62"/>
        <v/>
      </c>
    </row>
    <row r="1244" spans="1:9" hidden="1" x14ac:dyDescent="0.25">
      <c r="A1244" s="114" t="s">
        <v>3495</v>
      </c>
      <c r="B1244" s="115" t="s">
        <v>3552</v>
      </c>
      <c r="C1244" s="116" t="s">
        <v>20</v>
      </c>
      <c r="D1244" s="116">
        <v>0</v>
      </c>
      <c r="E1244" s="136" t="s">
        <v>572</v>
      </c>
      <c r="F1244" s="137" t="str">
        <f t="shared" si="60"/>
        <v/>
      </c>
      <c r="G1244" s="138" t="e">
        <f>IF(A1244&lt;&gt;"",IF(AND(#REF!="Padrão",$H$4=#REF!),BDI!$B$17,IF(AND(#REF!="Padrão",$H$4=#REF!),BDI!#REF!,IF(AND(#REF!="Diferenciado",$H$4=#REF!),BDI!$E$17,IF(AND(#REF!="Diferenciado",$H$4=#REF!),BDI!#REF!,IF(#REF!="ZERO",0))))),"")</f>
        <v>#REF!</v>
      </c>
      <c r="H1244" s="139" t="str">
        <f t="shared" si="61"/>
        <v/>
      </c>
      <c r="I1244" s="137" t="str">
        <f t="shared" si="62"/>
        <v/>
      </c>
    </row>
    <row r="1245" spans="1:9" hidden="1" x14ac:dyDescent="0.25">
      <c r="A1245" s="114" t="s">
        <v>3496</v>
      </c>
      <c r="B1245" s="115" t="s">
        <v>3553</v>
      </c>
      <c r="C1245" s="116" t="s">
        <v>20</v>
      </c>
      <c r="D1245" s="116">
        <v>0</v>
      </c>
      <c r="E1245" s="136">
        <f ca="1">OFFSET(INDEX(Composições!A:J,MATCH(Orçamentária!A1245,Composições!A:A,0),8),2,0)</f>
        <v>3.0808500000000003</v>
      </c>
      <c r="F1245" s="137">
        <f t="shared" ca="1" si="60"/>
        <v>0</v>
      </c>
      <c r="G1245" s="138" t="e">
        <f>IF(A1245&lt;&gt;"",IF(AND(#REF!="Padrão",$H$4=#REF!),BDI!$B$17,IF(AND(#REF!="Padrão",$H$4=#REF!),BDI!#REF!,IF(AND(#REF!="Diferenciado",$H$4=#REF!),BDI!$E$17,IF(AND(#REF!="Diferenciado",$H$4=#REF!),BDI!#REF!,IF(#REF!="ZERO",0))))),"")</f>
        <v>#REF!</v>
      </c>
      <c r="H1245" s="139" t="e">
        <f t="shared" ca="1" si="61"/>
        <v>#REF!</v>
      </c>
      <c r="I1245" s="137" t="e">
        <f t="shared" ca="1" si="62"/>
        <v>#REF!</v>
      </c>
    </row>
    <row r="1246" spans="1:9" hidden="1" x14ac:dyDescent="0.25">
      <c r="A1246" s="114" t="s">
        <v>3497</v>
      </c>
      <c r="B1246" s="115" t="s">
        <v>3554</v>
      </c>
      <c r="C1246" s="116" t="s">
        <v>20</v>
      </c>
      <c r="D1246" s="116">
        <v>0</v>
      </c>
      <c r="E1246" s="136">
        <f ca="1">OFFSET(INDEX(Composições!A:J,MATCH(Orçamentária!A1246,Composições!A:A,0),8),2,0)</f>
        <v>3.0808500000000003</v>
      </c>
      <c r="F1246" s="137">
        <f t="shared" ca="1" si="60"/>
        <v>0</v>
      </c>
      <c r="G1246" s="138" t="e">
        <f>IF(A1246&lt;&gt;"",IF(AND(#REF!="Padrão",$H$4=#REF!),BDI!$B$17,IF(AND(#REF!="Padrão",$H$4=#REF!),BDI!#REF!,IF(AND(#REF!="Diferenciado",$H$4=#REF!),BDI!$E$17,IF(AND(#REF!="Diferenciado",$H$4=#REF!),BDI!#REF!,IF(#REF!="ZERO",0))))),"")</f>
        <v>#REF!</v>
      </c>
      <c r="H1246" s="139" t="e">
        <f t="shared" ca="1" si="61"/>
        <v>#REF!</v>
      </c>
      <c r="I1246" s="137" t="e">
        <f t="shared" ca="1" si="62"/>
        <v>#REF!</v>
      </c>
    </row>
    <row r="1247" spans="1:9" hidden="1" x14ac:dyDescent="0.25">
      <c r="A1247" s="114" t="s">
        <v>3498</v>
      </c>
      <c r="B1247" s="115" t="s">
        <v>3555</v>
      </c>
      <c r="C1247" s="116" t="s">
        <v>20</v>
      </c>
      <c r="D1247" s="116">
        <v>0</v>
      </c>
      <c r="E1247" s="136">
        <f ca="1">OFFSET(INDEX(Composições!A:J,MATCH(Orçamentária!A1247,Composições!A:A,0),8),2,0)</f>
        <v>3.0808500000000003</v>
      </c>
      <c r="F1247" s="137">
        <f t="shared" ca="1" si="60"/>
        <v>0</v>
      </c>
      <c r="G1247" s="138" t="e">
        <f>IF(A1247&lt;&gt;"",IF(AND(#REF!="Padrão",$H$4=#REF!),BDI!$B$17,IF(AND(#REF!="Padrão",$H$4=#REF!),BDI!#REF!,IF(AND(#REF!="Diferenciado",$H$4=#REF!),BDI!$E$17,IF(AND(#REF!="Diferenciado",$H$4=#REF!),BDI!#REF!,IF(#REF!="ZERO",0))))),"")</f>
        <v>#REF!</v>
      </c>
      <c r="H1247" s="139" t="e">
        <f t="shared" ca="1" si="61"/>
        <v>#REF!</v>
      </c>
      <c r="I1247" s="137" t="e">
        <f t="shared" ca="1" si="62"/>
        <v>#REF!</v>
      </c>
    </row>
    <row r="1248" spans="1:9" ht="25.5" hidden="1" x14ac:dyDescent="0.25">
      <c r="A1248" s="114" t="s">
        <v>3499</v>
      </c>
      <c r="B1248" s="115" t="s">
        <v>3556</v>
      </c>
      <c r="C1248" s="116" t="s">
        <v>94</v>
      </c>
      <c r="D1248" s="116">
        <v>0</v>
      </c>
      <c r="E1248" s="136">
        <f ca="1">OFFSET(INDEX(Composições!A:J,MATCH(Orçamentária!A1248,Composições!A:A,0),8),2,0)</f>
        <v>8.6599910000000015</v>
      </c>
      <c r="F1248" s="137">
        <f t="shared" ca="1" si="60"/>
        <v>0</v>
      </c>
      <c r="G1248" s="138" t="e">
        <f>IF(A1248&lt;&gt;"",IF(AND(#REF!="Padrão",$H$4=#REF!),BDI!$B$17,IF(AND(#REF!="Padrão",$H$4=#REF!),BDI!#REF!,IF(AND(#REF!="Diferenciado",$H$4=#REF!),BDI!$E$17,IF(AND(#REF!="Diferenciado",$H$4=#REF!),BDI!#REF!,IF(#REF!="ZERO",0))))),"")</f>
        <v>#REF!</v>
      </c>
      <c r="H1248" s="139" t="e">
        <f t="shared" ca="1" si="61"/>
        <v>#REF!</v>
      </c>
      <c r="I1248" s="137" t="e">
        <f t="shared" ca="1" si="62"/>
        <v>#REF!</v>
      </c>
    </row>
    <row r="1249" spans="1:9" hidden="1" x14ac:dyDescent="0.25">
      <c r="A1249" s="114" t="s">
        <v>3500</v>
      </c>
      <c r="B1249" s="115" t="s">
        <v>3557</v>
      </c>
      <c r="C1249" s="116" t="s">
        <v>94</v>
      </c>
      <c r="D1249" s="116">
        <v>0</v>
      </c>
      <c r="E1249" s="136">
        <f ca="1">OFFSET(INDEX(Composições!A:J,MATCH(Orçamentária!A1249,Composições!A:A,0),8),2,0)</f>
        <v>12.236712499999999</v>
      </c>
      <c r="F1249" s="137">
        <f t="shared" ca="1" si="60"/>
        <v>0</v>
      </c>
      <c r="G1249" s="138" t="e">
        <f>IF(A1249&lt;&gt;"",IF(AND(#REF!="Padrão",$H$4=#REF!),BDI!$B$17,IF(AND(#REF!="Padrão",$H$4=#REF!),BDI!#REF!,IF(AND(#REF!="Diferenciado",$H$4=#REF!),BDI!$E$17,IF(AND(#REF!="Diferenciado",$H$4=#REF!),BDI!#REF!,IF(#REF!="ZERO",0))))),"")</f>
        <v>#REF!</v>
      </c>
      <c r="H1249" s="139" t="e">
        <f t="shared" ca="1" si="61"/>
        <v>#REF!</v>
      </c>
      <c r="I1249" s="137" t="e">
        <f t="shared" ca="1" si="62"/>
        <v>#REF!</v>
      </c>
    </row>
    <row r="1250" spans="1:9" hidden="1" x14ac:dyDescent="0.25">
      <c r="A1250" s="114" t="s">
        <v>3501</v>
      </c>
      <c r="B1250" s="115" t="s">
        <v>3558</v>
      </c>
      <c r="C1250" s="116" t="s">
        <v>94</v>
      </c>
      <c r="D1250" s="116">
        <v>0</v>
      </c>
      <c r="E1250" s="136">
        <f ca="1">OFFSET(INDEX(Composições!A:J,MATCH(Orçamentária!A1250,Composições!A:A,0),8),2,0)</f>
        <v>5.0679175000000001</v>
      </c>
      <c r="F1250" s="137">
        <f t="shared" ca="1" si="60"/>
        <v>0</v>
      </c>
      <c r="G1250" s="138" t="e">
        <f>IF(A1250&lt;&gt;"",IF(AND(#REF!="Padrão",$H$4=#REF!),BDI!$B$17,IF(AND(#REF!="Padrão",$H$4=#REF!),BDI!#REF!,IF(AND(#REF!="Diferenciado",$H$4=#REF!),BDI!$E$17,IF(AND(#REF!="Diferenciado",$H$4=#REF!),BDI!#REF!,IF(#REF!="ZERO",0))))),"")</f>
        <v>#REF!</v>
      </c>
      <c r="H1250" s="139" t="e">
        <f t="shared" ca="1" si="61"/>
        <v>#REF!</v>
      </c>
      <c r="I1250" s="137" t="e">
        <f t="shared" ca="1" si="62"/>
        <v>#REF!</v>
      </c>
    </row>
    <row r="1251" spans="1:9" hidden="1" x14ac:dyDescent="0.25">
      <c r="A1251" s="114" t="s">
        <v>3502</v>
      </c>
      <c r="B1251" s="115" t="s">
        <v>3559</v>
      </c>
      <c r="C1251" s="116" t="s">
        <v>94</v>
      </c>
      <c r="D1251" s="116">
        <v>0</v>
      </c>
      <c r="E1251" s="136">
        <f ca="1">OFFSET(INDEX(Composições!A:J,MATCH(Orçamentária!A1251,Composições!A:A,0),8),2,0)</f>
        <v>13.676428000000001</v>
      </c>
      <c r="F1251" s="137">
        <f t="shared" ca="1" si="60"/>
        <v>0</v>
      </c>
      <c r="G1251" s="138" t="e">
        <f>IF(A1251&lt;&gt;"",IF(AND(#REF!="Padrão",$H$4=#REF!),BDI!$B$17,IF(AND(#REF!="Padrão",$H$4=#REF!),BDI!#REF!,IF(AND(#REF!="Diferenciado",$H$4=#REF!),BDI!$E$17,IF(AND(#REF!="Diferenciado",$H$4=#REF!),BDI!#REF!,IF(#REF!="ZERO",0))))),"")</f>
        <v>#REF!</v>
      </c>
      <c r="H1251" s="139" t="e">
        <f t="shared" ca="1" si="61"/>
        <v>#REF!</v>
      </c>
      <c r="I1251" s="137" t="e">
        <f t="shared" ca="1" si="62"/>
        <v>#REF!</v>
      </c>
    </row>
    <row r="1252" spans="1:9" hidden="1" x14ac:dyDescent="0.25">
      <c r="A1252" s="114" t="s">
        <v>3503</v>
      </c>
      <c r="B1252" s="115" t="s">
        <v>3560</v>
      </c>
      <c r="C1252" s="116" t="s">
        <v>94</v>
      </c>
      <c r="D1252" s="116">
        <v>0</v>
      </c>
      <c r="E1252" s="136">
        <f ca="1">OFFSET(INDEX(Composições!A:J,MATCH(Orçamentária!A1252,Composições!A:A,0),8),2,0)</f>
        <v>15.518981500000002</v>
      </c>
      <c r="F1252" s="137">
        <f t="shared" ca="1" si="60"/>
        <v>0</v>
      </c>
      <c r="G1252" s="138" t="e">
        <f>IF(A1252&lt;&gt;"",IF(AND(#REF!="Padrão",$H$4=#REF!),BDI!$B$17,IF(AND(#REF!="Padrão",$H$4=#REF!),BDI!#REF!,IF(AND(#REF!="Diferenciado",$H$4=#REF!),BDI!$E$17,IF(AND(#REF!="Diferenciado",$H$4=#REF!),BDI!#REF!,IF(#REF!="ZERO",0))))),"")</f>
        <v>#REF!</v>
      </c>
      <c r="H1252" s="139" t="e">
        <f t="shared" ca="1" si="61"/>
        <v>#REF!</v>
      </c>
      <c r="I1252" s="137" t="e">
        <f t="shared" ca="1" si="62"/>
        <v>#REF!</v>
      </c>
    </row>
    <row r="1253" spans="1:9" hidden="1" x14ac:dyDescent="0.25">
      <c r="A1253" s="114" t="s">
        <v>3504</v>
      </c>
      <c r="B1253" s="115" t="s">
        <v>3561</v>
      </c>
      <c r="C1253" s="116" t="s">
        <v>94</v>
      </c>
      <c r="D1253" s="116">
        <v>0</v>
      </c>
      <c r="E1253" s="136">
        <f ca="1">OFFSET(INDEX(Composições!A:J,MATCH(Orçamentária!A1253,Composições!A:A,0),8),2,0)</f>
        <v>25.526576000000002</v>
      </c>
      <c r="F1253" s="137">
        <f t="shared" ca="1" si="60"/>
        <v>0</v>
      </c>
      <c r="G1253" s="138" t="e">
        <f>IF(A1253&lt;&gt;"",IF(AND(#REF!="Padrão",$H$4=#REF!),BDI!$B$17,IF(AND(#REF!="Padrão",$H$4=#REF!),BDI!#REF!,IF(AND(#REF!="Diferenciado",$H$4=#REF!),BDI!$E$17,IF(AND(#REF!="Diferenciado",$H$4=#REF!),BDI!#REF!,IF(#REF!="ZERO",0))))),"")</f>
        <v>#REF!</v>
      </c>
      <c r="H1253" s="139" t="e">
        <f t="shared" ca="1" si="61"/>
        <v>#REF!</v>
      </c>
      <c r="I1253" s="137" t="e">
        <f t="shared" ca="1" si="62"/>
        <v>#REF!</v>
      </c>
    </row>
    <row r="1254" spans="1:9" hidden="1" x14ac:dyDescent="0.25">
      <c r="A1254" s="114" t="s">
        <v>3505</v>
      </c>
      <c r="B1254" s="115" t="s">
        <v>3562</v>
      </c>
      <c r="C1254" s="116" t="s">
        <v>94</v>
      </c>
      <c r="D1254" s="116">
        <v>0</v>
      </c>
      <c r="E1254" s="136">
        <f ca="1">OFFSET(INDEX(Composições!A:J,MATCH(Orçamentária!A1254,Composições!A:A,0),8),2,0)</f>
        <v>7.9012925000000003</v>
      </c>
      <c r="F1254" s="137">
        <f t="shared" ca="1" si="60"/>
        <v>0</v>
      </c>
      <c r="G1254" s="138" t="e">
        <f>IF(A1254&lt;&gt;"",IF(AND(#REF!="Padrão",$H$4=#REF!),BDI!$B$17,IF(AND(#REF!="Padrão",$H$4=#REF!),BDI!#REF!,IF(AND(#REF!="Diferenciado",$H$4=#REF!),BDI!$E$17,IF(AND(#REF!="Diferenciado",$H$4=#REF!),BDI!#REF!,IF(#REF!="ZERO",0))))),"")</f>
        <v>#REF!</v>
      </c>
      <c r="H1254" s="139" t="e">
        <f t="shared" ca="1" si="61"/>
        <v>#REF!</v>
      </c>
      <c r="I1254" s="137" t="e">
        <f t="shared" ca="1" si="62"/>
        <v>#REF!</v>
      </c>
    </row>
    <row r="1255" spans="1:9" hidden="1" x14ac:dyDescent="0.25">
      <c r="A1255" s="114" t="s">
        <v>3506</v>
      </c>
      <c r="B1255" s="115" t="s">
        <v>3563</v>
      </c>
      <c r="C1255" s="116" t="s">
        <v>94</v>
      </c>
      <c r="D1255" s="116">
        <v>0</v>
      </c>
      <c r="E1255" s="136">
        <f ca="1">OFFSET(INDEX(Composições!A:J,MATCH(Orçamentária!A1255,Composições!A:A,0),8),2,0)</f>
        <v>8.4070914999999999</v>
      </c>
      <c r="F1255" s="137">
        <f t="shared" ca="1" si="60"/>
        <v>0</v>
      </c>
      <c r="G1255" s="138" t="e">
        <f>IF(A1255&lt;&gt;"",IF(AND(#REF!="Padrão",$H$4=#REF!),BDI!$B$17,IF(AND(#REF!="Padrão",$H$4=#REF!),BDI!#REF!,IF(AND(#REF!="Diferenciado",$H$4=#REF!),BDI!$E$17,IF(AND(#REF!="Diferenciado",$H$4=#REF!),BDI!#REF!,IF(#REF!="ZERO",0))))),"")</f>
        <v>#REF!</v>
      </c>
      <c r="H1255" s="139" t="e">
        <f t="shared" ca="1" si="61"/>
        <v>#REF!</v>
      </c>
      <c r="I1255" s="137" t="e">
        <f t="shared" ca="1" si="62"/>
        <v>#REF!</v>
      </c>
    </row>
    <row r="1256" spans="1:9" hidden="1" x14ac:dyDescent="0.25">
      <c r="A1256" s="114" t="s">
        <v>3507</v>
      </c>
      <c r="B1256" s="115" t="s">
        <v>3564</v>
      </c>
      <c r="C1256" s="116" t="s">
        <v>20</v>
      </c>
      <c r="D1256" s="116">
        <v>0</v>
      </c>
      <c r="E1256" s="136">
        <f ca="1">OFFSET(INDEX(Composições!A:J,MATCH(Orçamentária!A1256,Composições!A:A,0),8),2,0)</f>
        <v>45.752805599999988</v>
      </c>
      <c r="F1256" s="137">
        <f t="shared" ca="1" si="60"/>
        <v>0</v>
      </c>
      <c r="G1256" s="138" t="e">
        <f>IF(A1256&lt;&gt;"",IF(AND(#REF!="Padrão",$H$4=#REF!),BDI!$B$17,IF(AND(#REF!="Padrão",$H$4=#REF!),BDI!#REF!,IF(AND(#REF!="Diferenciado",$H$4=#REF!),BDI!$E$17,IF(AND(#REF!="Diferenciado",$H$4=#REF!),BDI!#REF!,IF(#REF!="ZERO",0))))),"")</f>
        <v>#REF!</v>
      </c>
      <c r="H1256" s="139" t="e">
        <f t="shared" ca="1" si="61"/>
        <v>#REF!</v>
      </c>
      <c r="I1256" s="137" t="e">
        <f t="shared" ca="1" si="62"/>
        <v>#REF!</v>
      </c>
    </row>
    <row r="1257" spans="1:9" hidden="1" x14ac:dyDescent="0.25">
      <c r="A1257" s="114" t="s">
        <v>3508</v>
      </c>
      <c r="B1257" s="115" t="s">
        <v>3565</v>
      </c>
      <c r="C1257" s="116" t="s">
        <v>20</v>
      </c>
      <c r="D1257" s="116">
        <v>0</v>
      </c>
      <c r="E1257" s="136">
        <f ca="1">OFFSET(INDEX(Composições!A:J,MATCH(Orçamentária!A1257,Composições!A:A,0),8),2,0)</f>
        <v>43.007305599999995</v>
      </c>
      <c r="F1257" s="137">
        <f t="shared" ca="1" si="60"/>
        <v>0</v>
      </c>
      <c r="G1257" s="138" t="e">
        <f>IF(A1257&lt;&gt;"",IF(AND(#REF!="Padrão",$H$4=#REF!),BDI!$B$17,IF(AND(#REF!="Padrão",$H$4=#REF!),BDI!#REF!,IF(AND(#REF!="Diferenciado",$H$4=#REF!),BDI!$E$17,IF(AND(#REF!="Diferenciado",$H$4=#REF!),BDI!#REF!,IF(#REF!="ZERO",0))))),"")</f>
        <v>#REF!</v>
      </c>
      <c r="H1257" s="139" t="e">
        <f t="shared" ca="1" si="61"/>
        <v>#REF!</v>
      </c>
      <c r="I1257" s="137" t="e">
        <f t="shared" ca="1" si="62"/>
        <v>#REF!</v>
      </c>
    </row>
    <row r="1258" spans="1:9" hidden="1" x14ac:dyDescent="0.25">
      <c r="A1258" s="114" t="s">
        <v>3509</v>
      </c>
      <c r="B1258" s="115" t="s">
        <v>3566</v>
      </c>
      <c r="C1258" s="116" t="s">
        <v>96</v>
      </c>
      <c r="D1258" s="116">
        <v>0</v>
      </c>
      <c r="E1258" s="136" t="s">
        <v>572</v>
      </c>
      <c r="F1258" s="137" t="str">
        <f t="shared" si="60"/>
        <v/>
      </c>
      <c r="G1258" s="138" t="e">
        <f>IF(A1258&lt;&gt;"",IF(AND(#REF!="Padrão",$H$4=#REF!),BDI!$B$17,IF(AND(#REF!="Padrão",$H$4=#REF!),BDI!#REF!,IF(AND(#REF!="Diferenciado",$H$4=#REF!),BDI!$E$17,IF(AND(#REF!="Diferenciado",$H$4=#REF!),BDI!#REF!,IF(#REF!="ZERO",0))))),"")</f>
        <v>#REF!</v>
      </c>
      <c r="H1258" s="139" t="str">
        <f t="shared" si="61"/>
        <v/>
      </c>
      <c r="I1258" s="137" t="str">
        <f t="shared" si="62"/>
        <v/>
      </c>
    </row>
    <row r="1259" spans="1:9" hidden="1" x14ac:dyDescent="0.25">
      <c r="A1259" s="114" t="s">
        <v>3510</v>
      </c>
      <c r="B1259" s="115" t="s">
        <v>3567</v>
      </c>
      <c r="C1259" s="116" t="s">
        <v>96</v>
      </c>
      <c r="D1259" s="116">
        <v>0</v>
      </c>
      <c r="E1259" s="136" t="s">
        <v>572</v>
      </c>
      <c r="F1259" s="137" t="str">
        <f t="shared" si="60"/>
        <v/>
      </c>
      <c r="G1259" s="138" t="e">
        <f>IF(A1259&lt;&gt;"",IF(AND(#REF!="Padrão",$H$4=#REF!),BDI!$B$17,IF(AND(#REF!="Padrão",$H$4=#REF!),BDI!#REF!,IF(AND(#REF!="Diferenciado",$H$4=#REF!),BDI!$E$17,IF(AND(#REF!="Diferenciado",$H$4=#REF!),BDI!#REF!,IF(#REF!="ZERO",0))))),"")</f>
        <v>#REF!</v>
      </c>
      <c r="H1259" s="139" t="str">
        <f t="shared" si="61"/>
        <v/>
      </c>
      <c r="I1259" s="137" t="str">
        <f t="shared" si="62"/>
        <v/>
      </c>
    </row>
    <row r="1260" spans="1:9" hidden="1" x14ac:dyDescent="0.25">
      <c r="A1260" s="114" t="s">
        <v>3511</v>
      </c>
      <c r="B1260" s="115" t="s">
        <v>3568</v>
      </c>
      <c r="C1260" s="116" t="s">
        <v>20</v>
      </c>
      <c r="D1260" s="116">
        <v>0</v>
      </c>
      <c r="E1260" s="136">
        <f ca="1">OFFSET(INDEX(Composições!A:J,MATCH(Orçamentária!A1260,Composições!A:A,0),8),2,0)</f>
        <v>12.03138045</v>
      </c>
      <c r="F1260" s="137">
        <f t="shared" ca="1" si="60"/>
        <v>0</v>
      </c>
      <c r="G1260" s="138" t="e">
        <f>IF(A1260&lt;&gt;"",IF(AND(#REF!="Padrão",$H$4=#REF!),BDI!$B$17,IF(AND(#REF!="Padrão",$H$4=#REF!),BDI!#REF!,IF(AND(#REF!="Diferenciado",$H$4=#REF!),BDI!$E$17,IF(AND(#REF!="Diferenciado",$H$4=#REF!),BDI!#REF!,IF(#REF!="ZERO",0))))),"")</f>
        <v>#REF!</v>
      </c>
      <c r="H1260" s="139" t="e">
        <f t="shared" ca="1" si="61"/>
        <v>#REF!</v>
      </c>
      <c r="I1260" s="137" t="e">
        <f t="shared" ca="1" si="62"/>
        <v>#REF!</v>
      </c>
    </row>
    <row r="1261" spans="1:9" hidden="1" x14ac:dyDescent="0.25">
      <c r="A1261" s="114" t="s">
        <v>3512</v>
      </c>
      <c r="B1261" s="115" t="s">
        <v>3569</v>
      </c>
      <c r="C1261" s="116" t="s">
        <v>20</v>
      </c>
      <c r="D1261" s="116">
        <v>0</v>
      </c>
      <c r="E1261" s="136">
        <f ca="1">OFFSET(INDEX(Composições!A:J,MATCH(Orçamentária!A1261,Composições!A:A,0),8),2,0)</f>
        <v>12.5545616</v>
      </c>
      <c r="F1261" s="137">
        <f t="shared" ca="1" si="60"/>
        <v>0</v>
      </c>
      <c r="G1261" s="138" t="e">
        <f>IF(A1261&lt;&gt;"",IF(AND(#REF!="Padrão",$H$4=#REF!),BDI!$B$17,IF(AND(#REF!="Padrão",$H$4=#REF!),BDI!#REF!,IF(AND(#REF!="Diferenciado",$H$4=#REF!),BDI!$E$17,IF(AND(#REF!="Diferenciado",$H$4=#REF!),BDI!#REF!,IF(#REF!="ZERO",0))))),"")</f>
        <v>#REF!</v>
      </c>
      <c r="H1261" s="139" t="e">
        <f t="shared" ca="1" si="61"/>
        <v>#REF!</v>
      </c>
      <c r="I1261" s="137" t="e">
        <f t="shared" ca="1" si="62"/>
        <v>#REF!</v>
      </c>
    </row>
    <row r="1262" spans="1:9" hidden="1" x14ac:dyDescent="0.25">
      <c r="A1262" s="114" t="s">
        <v>3513</v>
      </c>
      <c r="B1262" s="115" t="s">
        <v>3570</v>
      </c>
      <c r="C1262" s="116" t="s">
        <v>20</v>
      </c>
      <c r="D1262" s="116">
        <v>0</v>
      </c>
      <c r="E1262" s="136">
        <f ca="1">OFFSET(INDEX(Composições!A:J,MATCH(Orçamentária!A1262,Composições!A:A,0),8),2,0)</f>
        <v>6.2197963000000005</v>
      </c>
      <c r="F1262" s="137">
        <f t="shared" ca="1" si="60"/>
        <v>0</v>
      </c>
      <c r="G1262" s="138" t="e">
        <f>IF(A1262&lt;&gt;"",IF(AND(#REF!="Padrão",$H$4=#REF!),BDI!$B$17,IF(AND(#REF!="Padrão",$H$4=#REF!),BDI!#REF!,IF(AND(#REF!="Diferenciado",$H$4=#REF!),BDI!$E$17,IF(AND(#REF!="Diferenciado",$H$4=#REF!),BDI!#REF!,IF(#REF!="ZERO",0))))),"")</f>
        <v>#REF!</v>
      </c>
      <c r="H1262" s="139" t="e">
        <f t="shared" ca="1" si="61"/>
        <v>#REF!</v>
      </c>
      <c r="I1262" s="137" t="e">
        <f t="shared" ca="1" si="62"/>
        <v>#REF!</v>
      </c>
    </row>
    <row r="1263" spans="1:9" hidden="1" x14ac:dyDescent="0.25">
      <c r="A1263" s="114" t="s">
        <v>3514</v>
      </c>
      <c r="B1263" s="115" t="s">
        <v>3571</v>
      </c>
      <c r="C1263" s="116" t="s">
        <v>20</v>
      </c>
      <c r="D1263" s="116">
        <v>0</v>
      </c>
      <c r="E1263" s="136">
        <f ca="1">OFFSET(INDEX(Composições!A:J,MATCH(Orçamentária!A1263,Composições!A:A,0),8),2,0)</f>
        <v>12.5545616</v>
      </c>
      <c r="F1263" s="137">
        <f t="shared" ca="1" si="60"/>
        <v>0</v>
      </c>
      <c r="G1263" s="138" t="e">
        <f>IF(A1263&lt;&gt;"",IF(AND(#REF!="Padrão",$H$4=#REF!),BDI!$B$17,IF(AND(#REF!="Padrão",$H$4=#REF!),BDI!#REF!,IF(AND(#REF!="Diferenciado",$H$4=#REF!),BDI!$E$17,IF(AND(#REF!="Diferenciado",$H$4=#REF!),BDI!#REF!,IF(#REF!="ZERO",0))))),"")</f>
        <v>#REF!</v>
      </c>
      <c r="H1263" s="139" t="e">
        <f t="shared" ca="1" si="61"/>
        <v>#REF!</v>
      </c>
      <c r="I1263" s="137" t="e">
        <f t="shared" ca="1" si="62"/>
        <v>#REF!</v>
      </c>
    </row>
    <row r="1264" spans="1:9" hidden="1" x14ac:dyDescent="0.25">
      <c r="A1264" s="114" t="s">
        <v>3515</v>
      </c>
      <c r="B1264" s="115" t="s">
        <v>3572</v>
      </c>
      <c r="C1264" s="116" t="s">
        <v>20</v>
      </c>
      <c r="D1264" s="116">
        <v>0</v>
      </c>
      <c r="E1264" s="136">
        <f ca="1">OFFSET(INDEX(Composições!A:J,MATCH(Orçamentária!A1264,Composições!A:A,0),8),2,0)</f>
        <v>6.2197963000000005</v>
      </c>
      <c r="F1264" s="137">
        <f t="shared" ca="1" si="60"/>
        <v>0</v>
      </c>
      <c r="G1264" s="138" t="e">
        <f>IF(A1264&lt;&gt;"",IF(AND(#REF!="Padrão",$H$4=#REF!),BDI!$B$17,IF(AND(#REF!="Padrão",$H$4=#REF!),BDI!#REF!,IF(AND(#REF!="Diferenciado",$H$4=#REF!),BDI!$E$17,IF(AND(#REF!="Diferenciado",$H$4=#REF!),BDI!#REF!,IF(#REF!="ZERO",0))))),"")</f>
        <v>#REF!</v>
      </c>
      <c r="H1264" s="139" t="e">
        <f t="shared" ca="1" si="61"/>
        <v>#REF!</v>
      </c>
      <c r="I1264" s="137" t="e">
        <f t="shared" ca="1" si="62"/>
        <v>#REF!</v>
      </c>
    </row>
    <row r="1265" spans="1:9" hidden="1" x14ac:dyDescent="0.25">
      <c r="A1265" s="114" t="s">
        <v>3516</v>
      </c>
      <c r="B1265" s="115" t="s">
        <v>3573</v>
      </c>
      <c r="C1265" s="116" t="s">
        <v>20</v>
      </c>
      <c r="D1265" s="116">
        <v>0</v>
      </c>
      <c r="E1265" s="136">
        <f ca="1">OFFSET(INDEX(Composições!A:J,MATCH(Orçamentária!A1265,Composições!A:A,0),8),2,0)</f>
        <v>6.1617000000000006</v>
      </c>
      <c r="F1265" s="137">
        <f t="shared" ca="1" si="60"/>
        <v>0</v>
      </c>
      <c r="G1265" s="138" t="e">
        <f>IF(A1265&lt;&gt;"",IF(AND(#REF!="Padrão",$H$4=#REF!),BDI!$B$17,IF(AND(#REF!="Padrão",$H$4=#REF!),BDI!#REF!,IF(AND(#REF!="Diferenciado",$H$4=#REF!),BDI!$E$17,IF(AND(#REF!="Diferenciado",$H$4=#REF!),BDI!#REF!,IF(#REF!="ZERO",0))))),"")</f>
        <v>#REF!</v>
      </c>
      <c r="H1265" s="139" t="e">
        <f t="shared" ca="1" si="61"/>
        <v>#REF!</v>
      </c>
      <c r="I1265" s="137" t="e">
        <f t="shared" ca="1" si="62"/>
        <v>#REF!</v>
      </c>
    </row>
    <row r="1266" spans="1:9" hidden="1" x14ac:dyDescent="0.25">
      <c r="A1266" s="114" t="s">
        <v>3517</v>
      </c>
      <c r="B1266" s="115" t="s">
        <v>3574</v>
      </c>
      <c r="C1266" s="116" t="s">
        <v>20</v>
      </c>
      <c r="D1266" s="116">
        <v>0</v>
      </c>
      <c r="E1266" s="136">
        <f ca="1">OFFSET(INDEX(Composições!A:J,MATCH(Orçamentária!A1266,Composições!A:A,0),8),2,0)</f>
        <v>13.9617928</v>
      </c>
      <c r="F1266" s="137">
        <f t="shared" ca="1" si="60"/>
        <v>0</v>
      </c>
      <c r="G1266" s="138" t="e">
        <f>IF(A1266&lt;&gt;"",IF(AND(#REF!="Padrão",$H$4=#REF!),BDI!$B$17,IF(AND(#REF!="Padrão",$H$4=#REF!),BDI!#REF!,IF(AND(#REF!="Diferenciado",$H$4=#REF!),BDI!$E$17,IF(AND(#REF!="Diferenciado",$H$4=#REF!),BDI!#REF!,IF(#REF!="ZERO",0))))),"")</f>
        <v>#REF!</v>
      </c>
      <c r="H1266" s="139" t="e">
        <f t="shared" ca="1" si="61"/>
        <v>#REF!</v>
      </c>
      <c r="I1266" s="137" t="e">
        <f t="shared" ca="1" si="62"/>
        <v>#REF!</v>
      </c>
    </row>
    <row r="1267" spans="1:9" hidden="1" x14ac:dyDescent="0.25">
      <c r="A1267" s="114" t="s">
        <v>3518</v>
      </c>
      <c r="B1267" s="115" t="s">
        <v>3575</v>
      </c>
      <c r="C1267" s="116" t="s">
        <v>20</v>
      </c>
      <c r="D1267" s="116">
        <v>0</v>
      </c>
      <c r="E1267" s="136">
        <f ca="1">OFFSET(INDEX(Composições!A:J,MATCH(Orçamentária!A1267,Composições!A:A,0),8),2,0)</f>
        <v>37.417099</v>
      </c>
      <c r="F1267" s="137">
        <f t="shared" ca="1" si="60"/>
        <v>0</v>
      </c>
      <c r="G1267" s="138" t="e">
        <f>IF(A1267&lt;&gt;"",IF(AND(#REF!="Padrão",$H$4=#REF!),BDI!$B$17,IF(AND(#REF!="Padrão",$H$4=#REF!),BDI!#REF!,IF(AND(#REF!="Diferenciado",$H$4=#REF!),BDI!$E$17,IF(AND(#REF!="Diferenciado",$H$4=#REF!),BDI!#REF!,IF(#REF!="ZERO",0))))),"")</f>
        <v>#REF!</v>
      </c>
      <c r="H1267" s="139" t="e">
        <f t="shared" ca="1" si="61"/>
        <v>#REF!</v>
      </c>
      <c r="I1267" s="137" t="e">
        <f t="shared" ca="1" si="62"/>
        <v>#REF!</v>
      </c>
    </row>
    <row r="1268" spans="1:9" hidden="1" x14ac:dyDescent="0.25">
      <c r="A1268" s="114" t="s">
        <v>3519</v>
      </c>
      <c r="B1268" s="115" t="s">
        <v>3576</v>
      </c>
      <c r="C1268" s="116" t="s">
        <v>20</v>
      </c>
      <c r="D1268" s="116">
        <v>0</v>
      </c>
      <c r="E1268" s="136">
        <f ca="1">OFFSET(INDEX(Composições!A:J,MATCH(Orçamentária!A1268,Composições!A:A,0),8),2,0)</f>
        <v>24.568964600000001</v>
      </c>
      <c r="F1268" s="137">
        <f t="shared" ca="1" si="60"/>
        <v>0</v>
      </c>
      <c r="G1268" s="138" t="e">
        <f>IF(A1268&lt;&gt;"",IF(AND(#REF!="Padrão",$H$4=#REF!),BDI!$B$17,IF(AND(#REF!="Padrão",$H$4=#REF!),BDI!#REF!,IF(AND(#REF!="Diferenciado",$H$4=#REF!),BDI!$E$17,IF(AND(#REF!="Diferenciado",$H$4=#REF!),BDI!#REF!,IF(#REF!="ZERO",0))))),"")</f>
        <v>#REF!</v>
      </c>
      <c r="H1268" s="139" t="e">
        <f t="shared" ca="1" si="61"/>
        <v>#REF!</v>
      </c>
      <c r="I1268" s="137" t="e">
        <f t="shared" ca="1" si="62"/>
        <v>#REF!</v>
      </c>
    </row>
    <row r="1269" spans="1:9" hidden="1" x14ac:dyDescent="0.25">
      <c r="A1269" s="114" t="s">
        <v>3520</v>
      </c>
      <c r="B1269" s="115" t="s">
        <v>3577</v>
      </c>
      <c r="C1269" s="116" t="s">
        <v>20</v>
      </c>
      <c r="D1269" s="116">
        <v>0</v>
      </c>
      <c r="E1269" s="136">
        <f ca="1">OFFSET(INDEX(Composições!A:J,MATCH(Orçamentária!A1269,Composições!A:A,0),8),2,0)</f>
        <v>24.568964600000001</v>
      </c>
      <c r="F1269" s="137">
        <f t="shared" ca="1" si="60"/>
        <v>0</v>
      </c>
      <c r="G1269" s="138" t="e">
        <f>IF(A1269&lt;&gt;"",IF(AND(#REF!="Padrão",$H$4=#REF!),BDI!$B$17,IF(AND(#REF!="Padrão",$H$4=#REF!),BDI!#REF!,IF(AND(#REF!="Diferenciado",$H$4=#REF!),BDI!$E$17,IF(AND(#REF!="Diferenciado",$H$4=#REF!),BDI!#REF!,IF(#REF!="ZERO",0))))),"")</f>
        <v>#REF!</v>
      </c>
      <c r="H1269" s="139" t="e">
        <f t="shared" ca="1" si="61"/>
        <v>#REF!</v>
      </c>
      <c r="I1269" s="137" t="e">
        <f t="shared" ca="1" si="62"/>
        <v>#REF!</v>
      </c>
    </row>
    <row r="1270" spans="1:9" hidden="1" x14ac:dyDescent="0.25">
      <c r="A1270" s="114" t="s">
        <v>3521</v>
      </c>
      <c r="B1270" s="115" t="s">
        <v>3578</v>
      </c>
      <c r="C1270" s="116" t="s">
        <v>20</v>
      </c>
      <c r="D1270" s="116">
        <v>0</v>
      </c>
      <c r="E1270" s="136">
        <f ca="1">OFFSET(INDEX(Composições!A:J,MATCH(Orçamentária!A1270,Composições!A:A,0),8),2,0)</f>
        <v>4.9077000000000002</v>
      </c>
      <c r="F1270" s="137">
        <f t="shared" ca="1" si="60"/>
        <v>0</v>
      </c>
      <c r="G1270" s="138" t="e">
        <f>IF(A1270&lt;&gt;"",IF(AND(#REF!="Padrão",$H$4=#REF!),BDI!$B$17,IF(AND(#REF!="Padrão",$H$4=#REF!),BDI!#REF!,IF(AND(#REF!="Diferenciado",$H$4=#REF!),BDI!$E$17,IF(AND(#REF!="Diferenciado",$H$4=#REF!),BDI!#REF!,IF(#REF!="ZERO",0))))),"")</f>
        <v>#REF!</v>
      </c>
      <c r="H1270" s="139" t="e">
        <f t="shared" ca="1" si="61"/>
        <v>#REF!</v>
      </c>
      <c r="I1270" s="137" t="e">
        <f t="shared" ca="1" si="62"/>
        <v>#REF!</v>
      </c>
    </row>
    <row r="1271" spans="1:9" hidden="1" x14ac:dyDescent="0.25">
      <c r="A1271" s="114" t="s">
        <v>3522</v>
      </c>
      <c r="B1271" s="115" t="s">
        <v>3640</v>
      </c>
      <c r="C1271" s="116" t="s">
        <v>20</v>
      </c>
      <c r="D1271" s="116">
        <v>0</v>
      </c>
      <c r="E1271" s="136">
        <f ca="1">OFFSET(INDEX(Composições!A:J,MATCH(Orçamentária!A1271,Composições!A:A,0),8),2,0)</f>
        <v>192.82659960000001</v>
      </c>
      <c r="F1271" s="137">
        <f t="shared" ca="1" si="60"/>
        <v>0</v>
      </c>
      <c r="G1271" s="138" t="e">
        <f>IF(A1271&lt;&gt;"",IF(AND(#REF!="Padrão",$H$4=#REF!),BDI!$B$17,IF(AND(#REF!="Padrão",$H$4=#REF!),BDI!#REF!,IF(AND(#REF!="Diferenciado",$H$4=#REF!),BDI!$E$17,IF(AND(#REF!="Diferenciado",$H$4=#REF!),BDI!#REF!,IF(#REF!="ZERO",0))))),"")</f>
        <v>#REF!</v>
      </c>
      <c r="H1271" s="139" t="e">
        <f t="shared" ca="1" si="61"/>
        <v>#REF!</v>
      </c>
      <c r="I1271" s="137" t="e">
        <f t="shared" ca="1" si="62"/>
        <v>#REF!</v>
      </c>
    </row>
    <row r="1272" spans="1:9" hidden="1" x14ac:dyDescent="0.25">
      <c r="A1272" s="114" t="s">
        <v>3523</v>
      </c>
      <c r="B1272" s="115" t="s">
        <v>3641</v>
      </c>
      <c r="C1272" s="116" t="s">
        <v>20</v>
      </c>
      <c r="D1272" s="116">
        <v>0</v>
      </c>
      <c r="E1272" s="136">
        <f ca="1">OFFSET(INDEX(Composições!A:J,MATCH(Orçamentária!A1272,Composições!A:A,0),8),2,0)</f>
        <v>210.09072920000003</v>
      </c>
      <c r="F1272" s="137">
        <f t="shared" ca="1" si="60"/>
        <v>0</v>
      </c>
      <c r="G1272" s="138" t="e">
        <f>IF(A1272&lt;&gt;"",IF(AND(#REF!="Padrão",$H$4=#REF!),BDI!$B$17,IF(AND(#REF!="Padrão",$H$4=#REF!),BDI!#REF!,IF(AND(#REF!="Diferenciado",$H$4=#REF!),BDI!$E$17,IF(AND(#REF!="Diferenciado",$H$4=#REF!),BDI!#REF!,IF(#REF!="ZERO",0))))),"")</f>
        <v>#REF!</v>
      </c>
      <c r="H1272" s="139" t="e">
        <f t="shared" ca="1" si="61"/>
        <v>#REF!</v>
      </c>
      <c r="I1272" s="137" t="e">
        <f t="shared" ca="1" si="62"/>
        <v>#REF!</v>
      </c>
    </row>
    <row r="1273" spans="1:9" hidden="1" x14ac:dyDescent="0.25">
      <c r="A1273" s="114" t="s">
        <v>3524</v>
      </c>
      <c r="B1273" s="115" t="s">
        <v>3642</v>
      </c>
      <c r="C1273" s="116" t="s">
        <v>20</v>
      </c>
      <c r="D1273" s="116">
        <v>0</v>
      </c>
      <c r="E1273" s="136">
        <f ca="1">OFFSET(INDEX(Composições!A:J,MATCH(Orçamentária!A1273,Composições!A:A,0),8),2,0)</f>
        <v>236.04735879999998</v>
      </c>
      <c r="F1273" s="137">
        <f t="shared" ca="1" si="60"/>
        <v>0</v>
      </c>
      <c r="G1273" s="138" t="e">
        <f>IF(A1273&lt;&gt;"",IF(AND(#REF!="Padrão",$H$4=#REF!),BDI!$B$17,IF(AND(#REF!="Padrão",$H$4=#REF!),BDI!#REF!,IF(AND(#REF!="Diferenciado",$H$4=#REF!),BDI!$E$17,IF(AND(#REF!="Diferenciado",$H$4=#REF!),BDI!#REF!,IF(#REF!="ZERO",0))))),"")</f>
        <v>#REF!</v>
      </c>
      <c r="H1273" s="139" t="e">
        <f t="shared" ca="1" si="61"/>
        <v>#REF!</v>
      </c>
      <c r="I1273" s="137" t="e">
        <f t="shared" ca="1" si="62"/>
        <v>#REF!</v>
      </c>
    </row>
    <row r="1274" spans="1:9" hidden="1" x14ac:dyDescent="0.25">
      <c r="A1274" s="114" t="s">
        <v>3525</v>
      </c>
      <c r="B1274" s="115" t="s">
        <v>3643</v>
      </c>
      <c r="C1274" s="116" t="s">
        <v>20</v>
      </c>
      <c r="D1274" s="116">
        <v>0</v>
      </c>
      <c r="E1274" s="136">
        <f ca="1">OFFSET(INDEX(Composições!A:J,MATCH(Orçamentária!A1274,Composições!A:A,0),8),2,0)</f>
        <v>262.60248840000003</v>
      </c>
      <c r="F1274" s="137">
        <f t="shared" ca="1" si="60"/>
        <v>0</v>
      </c>
      <c r="G1274" s="138" t="e">
        <f>IF(A1274&lt;&gt;"",IF(AND(#REF!="Padrão",$H$4=#REF!),BDI!$B$17,IF(AND(#REF!="Padrão",$H$4=#REF!),BDI!#REF!,IF(AND(#REF!="Diferenciado",$H$4=#REF!),BDI!$E$17,IF(AND(#REF!="Diferenciado",$H$4=#REF!),BDI!#REF!,IF(#REF!="ZERO",0))))),"")</f>
        <v>#REF!</v>
      </c>
      <c r="H1274" s="139" t="e">
        <f t="shared" ca="1" si="61"/>
        <v>#REF!</v>
      </c>
      <c r="I1274" s="137" t="e">
        <f t="shared" ca="1" si="62"/>
        <v>#REF!</v>
      </c>
    </row>
    <row r="1275" spans="1:9" hidden="1" x14ac:dyDescent="0.25">
      <c r="A1275" s="114" t="s">
        <v>3526</v>
      </c>
      <c r="B1275" s="115" t="s">
        <v>3579</v>
      </c>
      <c r="C1275" s="116" t="s">
        <v>20</v>
      </c>
      <c r="D1275" s="116">
        <v>0</v>
      </c>
      <c r="E1275" s="136">
        <f ca="1">OFFSET(INDEX(Composições!A:J,MATCH(Orçamentária!A1275,Composições!A:A,0),8),2,0)</f>
        <v>69.995999999999995</v>
      </c>
      <c r="F1275" s="137">
        <f t="shared" ca="1" si="60"/>
        <v>0</v>
      </c>
      <c r="G1275" s="138" t="e">
        <f>IF(A1275&lt;&gt;"",IF(AND(#REF!="Padrão",$H$4=#REF!),BDI!$B$17,IF(AND(#REF!="Padrão",$H$4=#REF!),BDI!#REF!,IF(AND(#REF!="Diferenciado",$H$4=#REF!),BDI!$E$17,IF(AND(#REF!="Diferenciado",$H$4=#REF!),BDI!#REF!,IF(#REF!="ZERO",0))))),"")</f>
        <v>#REF!</v>
      </c>
      <c r="H1275" s="139" t="e">
        <f t="shared" ca="1" si="61"/>
        <v>#REF!</v>
      </c>
      <c r="I1275" s="137" t="e">
        <f t="shared" ca="1" si="62"/>
        <v>#REF!</v>
      </c>
    </row>
    <row r="1276" spans="1:9" hidden="1" x14ac:dyDescent="0.25">
      <c r="A1276" s="114" t="s">
        <v>3527</v>
      </c>
      <c r="B1276" s="115" t="s">
        <v>3580</v>
      </c>
      <c r="C1276" s="116" t="s">
        <v>96</v>
      </c>
      <c r="D1276" s="116">
        <v>0</v>
      </c>
      <c r="E1276" s="136">
        <f ca="1">OFFSET(INDEX(Composições!A:J,MATCH(Orçamentária!A1276,Composições!A:A,0),8),2,0)</f>
        <v>24.79158</v>
      </c>
      <c r="F1276" s="137">
        <f t="shared" ca="1" si="60"/>
        <v>0</v>
      </c>
      <c r="G1276" s="138" t="e">
        <f>IF(A1276&lt;&gt;"",IF(AND(#REF!="Padrão",$H$4=#REF!),BDI!$B$17,IF(AND(#REF!="Padrão",$H$4=#REF!),BDI!#REF!,IF(AND(#REF!="Diferenciado",$H$4=#REF!),BDI!$E$17,IF(AND(#REF!="Diferenciado",$H$4=#REF!),BDI!#REF!,IF(#REF!="ZERO",0))))),"")</f>
        <v>#REF!</v>
      </c>
      <c r="H1276" s="139" t="e">
        <f t="shared" ca="1" si="61"/>
        <v>#REF!</v>
      </c>
      <c r="I1276" s="137" t="e">
        <f t="shared" ca="1" si="62"/>
        <v>#REF!</v>
      </c>
    </row>
    <row r="1277" spans="1:9" hidden="1" x14ac:dyDescent="0.25">
      <c r="A1277" s="114" t="s">
        <v>3528</v>
      </c>
      <c r="B1277" s="115" t="s">
        <v>3581</v>
      </c>
      <c r="C1277" s="116" t="s">
        <v>96</v>
      </c>
      <c r="D1277" s="116">
        <v>0</v>
      </c>
      <c r="E1277" s="136">
        <f ca="1">OFFSET(INDEX(Composições!A:J,MATCH(Orçamentária!A1277,Composições!A:A,0),8),2,0)</f>
        <v>25.792880000000004</v>
      </c>
      <c r="F1277" s="137">
        <f t="shared" ca="1" si="60"/>
        <v>0</v>
      </c>
      <c r="G1277" s="138" t="e">
        <f>IF(A1277&lt;&gt;"",IF(AND(#REF!="Padrão",$H$4=#REF!),BDI!$B$17,IF(AND(#REF!="Padrão",$H$4=#REF!),BDI!#REF!,IF(AND(#REF!="Diferenciado",$H$4=#REF!),BDI!$E$17,IF(AND(#REF!="Diferenciado",$H$4=#REF!),BDI!#REF!,IF(#REF!="ZERO",0))))),"")</f>
        <v>#REF!</v>
      </c>
      <c r="H1277" s="139" t="e">
        <f t="shared" ca="1" si="61"/>
        <v>#REF!</v>
      </c>
      <c r="I1277" s="137" t="e">
        <f t="shared" ca="1" si="62"/>
        <v>#REF!</v>
      </c>
    </row>
    <row r="1278" spans="1:9" hidden="1" x14ac:dyDescent="0.25">
      <c r="A1278" s="114" t="s">
        <v>3529</v>
      </c>
      <c r="B1278" s="115" t="s">
        <v>3582</v>
      </c>
      <c r="C1278" s="116" t="s">
        <v>96</v>
      </c>
      <c r="D1278" s="116">
        <v>0</v>
      </c>
      <c r="E1278" s="136">
        <f ca="1">OFFSET(INDEX(Composições!A:J,MATCH(Orçamentária!A1278,Composições!A:A,0),8),2,0)</f>
        <v>28.681236249999998</v>
      </c>
      <c r="F1278" s="137">
        <f t="shared" ca="1" si="60"/>
        <v>0</v>
      </c>
      <c r="G1278" s="138" t="e">
        <f>IF(A1278&lt;&gt;"",IF(AND(#REF!="Padrão",$H$4=#REF!),BDI!$B$17,IF(AND(#REF!="Padrão",$H$4=#REF!),BDI!#REF!,IF(AND(#REF!="Diferenciado",$H$4=#REF!),BDI!$E$17,IF(AND(#REF!="Diferenciado",$H$4=#REF!),BDI!#REF!,IF(#REF!="ZERO",0))))),"")</f>
        <v>#REF!</v>
      </c>
      <c r="H1278" s="139" t="e">
        <f t="shared" ca="1" si="61"/>
        <v>#REF!</v>
      </c>
      <c r="I1278" s="137" t="e">
        <f t="shared" ca="1" si="62"/>
        <v>#REF!</v>
      </c>
    </row>
    <row r="1279" spans="1:9" hidden="1" x14ac:dyDescent="0.25">
      <c r="A1279" s="114" t="s">
        <v>3530</v>
      </c>
      <c r="B1279" s="115" t="s">
        <v>3583</v>
      </c>
      <c r="C1279" s="116" t="s">
        <v>94</v>
      </c>
      <c r="D1279" s="116">
        <v>0</v>
      </c>
      <c r="E1279" s="136" t="s">
        <v>572</v>
      </c>
      <c r="F1279" s="137" t="str">
        <f t="shared" si="60"/>
        <v/>
      </c>
      <c r="G1279" s="138" t="e">
        <f>IF(A1279&lt;&gt;"",IF(AND(#REF!="Padrão",$H$4=#REF!),BDI!$B$17,IF(AND(#REF!="Padrão",$H$4=#REF!),BDI!#REF!,IF(AND(#REF!="Diferenciado",$H$4=#REF!),BDI!$E$17,IF(AND(#REF!="Diferenciado",$H$4=#REF!),BDI!#REF!,IF(#REF!="ZERO",0))))),"")</f>
        <v>#REF!</v>
      </c>
      <c r="H1279" s="139" t="str">
        <f t="shared" si="61"/>
        <v/>
      </c>
      <c r="I1279" s="137" t="str">
        <f t="shared" si="62"/>
        <v/>
      </c>
    </row>
    <row r="1280" spans="1:9" hidden="1" x14ac:dyDescent="0.25">
      <c r="A1280" s="114" t="s">
        <v>3531</v>
      </c>
      <c r="B1280" s="115" t="s">
        <v>3584</v>
      </c>
      <c r="C1280" s="116" t="s">
        <v>94</v>
      </c>
      <c r="D1280" s="116">
        <v>0</v>
      </c>
      <c r="E1280" s="136" t="s">
        <v>572</v>
      </c>
      <c r="F1280" s="137" t="str">
        <f t="shared" si="60"/>
        <v/>
      </c>
      <c r="G1280" s="138" t="e">
        <f>IF(A1280&lt;&gt;"",IF(AND(#REF!="Padrão",$H$4=#REF!),BDI!$B$17,IF(AND(#REF!="Padrão",$H$4=#REF!),BDI!#REF!,IF(AND(#REF!="Diferenciado",$H$4=#REF!),BDI!$E$17,IF(AND(#REF!="Diferenciado",$H$4=#REF!),BDI!#REF!,IF(#REF!="ZERO",0))))),"")</f>
        <v>#REF!</v>
      </c>
      <c r="H1280" s="139" t="str">
        <f t="shared" si="61"/>
        <v/>
      </c>
      <c r="I1280" s="137" t="str">
        <f t="shared" si="62"/>
        <v/>
      </c>
    </row>
    <row r="1281" spans="1:9" hidden="1" x14ac:dyDescent="0.25">
      <c r="A1281" s="114" t="s">
        <v>3532</v>
      </c>
      <c r="B1281" s="115" t="s">
        <v>3585</v>
      </c>
      <c r="C1281" s="116" t="s">
        <v>94</v>
      </c>
      <c r="D1281" s="116">
        <v>0</v>
      </c>
      <c r="E1281" s="136" t="s">
        <v>572</v>
      </c>
      <c r="F1281" s="137" t="str">
        <f t="shared" si="60"/>
        <v/>
      </c>
      <c r="G1281" s="138" t="e">
        <f>IF(A1281&lt;&gt;"",IF(AND(#REF!="Padrão",$H$4=#REF!),BDI!$B$17,IF(AND(#REF!="Padrão",$H$4=#REF!),BDI!#REF!,IF(AND(#REF!="Diferenciado",$H$4=#REF!),BDI!$E$17,IF(AND(#REF!="Diferenciado",$H$4=#REF!),BDI!#REF!,IF(#REF!="ZERO",0))))),"")</f>
        <v>#REF!</v>
      </c>
      <c r="H1281" s="139" t="str">
        <f t="shared" si="61"/>
        <v/>
      </c>
      <c r="I1281" s="137" t="str">
        <f t="shared" si="62"/>
        <v/>
      </c>
    </row>
    <row r="1282" spans="1:9" hidden="1" x14ac:dyDescent="0.25">
      <c r="A1282" s="114" t="s">
        <v>3533</v>
      </c>
      <c r="B1282" s="115" t="s">
        <v>3586</v>
      </c>
      <c r="C1282" s="116" t="s">
        <v>94</v>
      </c>
      <c r="D1282" s="116">
        <v>0</v>
      </c>
      <c r="E1282" s="136" t="s">
        <v>572</v>
      </c>
      <c r="F1282" s="137" t="str">
        <f t="shared" si="60"/>
        <v/>
      </c>
      <c r="G1282" s="138" t="e">
        <f>IF(A1282&lt;&gt;"",IF(AND(#REF!="Padrão",$H$4=#REF!),BDI!$B$17,IF(AND(#REF!="Padrão",$H$4=#REF!),BDI!#REF!,IF(AND(#REF!="Diferenciado",$H$4=#REF!),BDI!$E$17,IF(AND(#REF!="Diferenciado",$H$4=#REF!),BDI!#REF!,IF(#REF!="ZERO",0))))),"")</f>
        <v>#REF!</v>
      </c>
      <c r="H1282" s="139" t="str">
        <f t="shared" si="61"/>
        <v/>
      </c>
      <c r="I1282" s="137" t="str">
        <f t="shared" si="62"/>
        <v/>
      </c>
    </row>
    <row r="1283" spans="1:9" hidden="1" x14ac:dyDescent="0.25">
      <c r="A1283" s="114" t="s">
        <v>3534</v>
      </c>
      <c r="B1283" s="115" t="s">
        <v>3587</v>
      </c>
      <c r="C1283" s="116" t="s">
        <v>94</v>
      </c>
      <c r="D1283" s="116">
        <v>0</v>
      </c>
      <c r="E1283" s="136">
        <f ca="1">OFFSET(INDEX(Composições!A:J,MATCH(Orçamentária!A1283,Composições!A:A,0),8),2,0)</f>
        <v>9.6852499999999999</v>
      </c>
      <c r="F1283" s="137">
        <f t="shared" ca="1" si="60"/>
        <v>0</v>
      </c>
      <c r="G1283" s="138" t="e">
        <f>IF(A1283&lt;&gt;"",IF(AND(#REF!="Padrão",$H$4=#REF!),BDI!$B$17,IF(AND(#REF!="Padrão",$H$4=#REF!),BDI!#REF!,IF(AND(#REF!="Diferenciado",$H$4=#REF!),BDI!$E$17,IF(AND(#REF!="Diferenciado",$H$4=#REF!),BDI!#REF!,IF(#REF!="ZERO",0))))),"")</f>
        <v>#REF!</v>
      </c>
      <c r="H1283" s="139" t="e">
        <f t="shared" ca="1" si="61"/>
        <v>#REF!</v>
      </c>
      <c r="I1283" s="137" t="e">
        <f t="shared" ca="1" si="62"/>
        <v>#REF!</v>
      </c>
    </row>
    <row r="1284" spans="1:9" hidden="1" x14ac:dyDescent="0.25">
      <c r="A1284" s="114" t="s">
        <v>3535</v>
      </c>
      <c r="B1284" s="115" t="s">
        <v>3588</v>
      </c>
      <c r="C1284" s="116" t="s">
        <v>94</v>
      </c>
      <c r="D1284" s="116">
        <v>0</v>
      </c>
      <c r="E1284" s="136">
        <f ca="1">OFFSET(INDEX(Composições!A:J,MATCH(Orçamentária!A1284,Composições!A:A,0),8),2,0)</f>
        <v>26.1491775</v>
      </c>
      <c r="F1284" s="137">
        <f t="shared" ca="1" si="60"/>
        <v>0</v>
      </c>
      <c r="G1284" s="138" t="e">
        <f>IF(A1284&lt;&gt;"",IF(AND(#REF!="Padrão",$H$4=#REF!),BDI!$B$17,IF(AND(#REF!="Padrão",$H$4=#REF!),BDI!#REF!,IF(AND(#REF!="Diferenciado",$H$4=#REF!),BDI!$E$17,IF(AND(#REF!="Diferenciado",$H$4=#REF!),BDI!#REF!,IF(#REF!="ZERO",0))))),"")</f>
        <v>#REF!</v>
      </c>
      <c r="H1284" s="139" t="e">
        <f t="shared" ca="1" si="61"/>
        <v>#REF!</v>
      </c>
      <c r="I1284" s="137" t="e">
        <f t="shared" ca="1" si="62"/>
        <v>#REF!</v>
      </c>
    </row>
    <row r="1285" spans="1:9" hidden="1" x14ac:dyDescent="0.25">
      <c r="A1285" s="114" t="s">
        <v>3536</v>
      </c>
      <c r="B1285" s="115" t="s">
        <v>3589</v>
      </c>
      <c r="C1285" s="116" t="s">
        <v>94</v>
      </c>
      <c r="D1285" s="116">
        <v>0</v>
      </c>
      <c r="E1285" s="136">
        <f ca="1">OFFSET(INDEX(Composições!A:J,MATCH(Orçamentária!A1285,Composições!A:A,0),8),2,0)</f>
        <v>36.431037000000003</v>
      </c>
      <c r="F1285" s="137">
        <f t="shared" ca="1" si="60"/>
        <v>0</v>
      </c>
      <c r="G1285" s="138" t="e">
        <f>IF(A1285&lt;&gt;"",IF(AND(#REF!="Padrão",$H$4=#REF!),BDI!$B$17,IF(AND(#REF!="Padrão",$H$4=#REF!),BDI!#REF!,IF(AND(#REF!="Diferenciado",$H$4=#REF!),BDI!$E$17,IF(AND(#REF!="Diferenciado",$H$4=#REF!),BDI!#REF!,IF(#REF!="ZERO",0))))),"")</f>
        <v>#REF!</v>
      </c>
      <c r="H1285" s="139" t="e">
        <f t="shared" ca="1" si="61"/>
        <v>#REF!</v>
      </c>
      <c r="I1285" s="137" t="e">
        <f t="shared" ca="1" si="62"/>
        <v>#REF!</v>
      </c>
    </row>
    <row r="1286" spans="1:9" hidden="1" x14ac:dyDescent="0.25">
      <c r="A1286" s="114" t="s">
        <v>3537</v>
      </c>
      <c r="B1286" s="115" t="s">
        <v>3590</v>
      </c>
      <c r="C1286" s="116" t="s">
        <v>20</v>
      </c>
      <c r="D1286" s="116">
        <v>0</v>
      </c>
      <c r="E1286" s="136">
        <f ca="1">OFFSET(INDEX(Composições!A:J,MATCH(Orçamentária!A1286,Composições!A:A,0),8),2,0)</f>
        <v>43.007305599999995</v>
      </c>
      <c r="F1286" s="137">
        <f t="shared" ca="1" si="60"/>
        <v>0</v>
      </c>
      <c r="G1286" s="138" t="e">
        <f>IF(A1286&lt;&gt;"",IF(AND(#REF!="Padrão",$H$4=#REF!),BDI!$B$17,IF(AND(#REF!="Padrão",$H$4=#REF!),BDI!#REF!,IF(AND(#REF!="Diferenciado",$H$4=#REF!),BDI!$E$17,IF(AND(#REF!="Diferenciado",$H$4=#REF!),BDI!#REF!,IF(#REF!="ZERO",0))))),"")</f>
        <v>#REF!</v>
      </c>
      <c r="H1286" s="139" t="e">
        <f t="shared" ca="1" si="61"/>
        <v>#REF!</v>
      </c>
      <c r="I1286" s="137" t="e">
        <f t="shared" ca="1" si="62"/>
        <v>#REF!</v>
      </c>
    </row>
    <row r="1287" spans="1:9" hidden="1" x14ac:dyDescent="0.25">
      <c r="A1287" s="114" t="s">
        <v>3538</v>
      </c>
      <c r="B1287" s="115" t="s">
        <v>3591</v>
      </c>
      <c r="C1287" s="116" t="s">
        <v>20</v>
      </c>
      <c r="D1287" s="116">
        <v>0</v>
      </c>
      <c r="E1287" s="136">
        <f ca="1">OFFSET(INDEX(Composições!A:J,MATCH(Orçamentária!A1287,Composições!A:A,0),8),2,0)</f>
        <v>19.384913400000002</v>
      </c>
      <c r="F1287" s="137">
        <f t="shared" ca="1" si="60"/>
        <v>0</v>
      </c>
      <c r="G1287" s="138" t="e">
        <f>IF(A1287&lt;&gt;"",IF(AND(#REF!="Padrão",$H$4=#REF!),BDI!$B$17,IF(AND(#REF!="Padrão",$H$4=#REF!),BDI!#REF!,IF(AND(#REF!="Diferenciado",$H$4=#REF!),BDI!$E$17,IF(AND(#REF!="Diferenciado",$H$4=#REF!),BDI!#REF!,IF(#REF!="ZERO",0))))),"")</f>
        <v>#REF!</v>
      </c>
      <c r="H1287" s="139" t="e">
        <f t="shared" ca="1" si="61"/>
        <v>#REF!</v>
      </c>
      <c r="I1287" s="137" t="e">
        <f t="shared" ca="1" si="62"/>
        <v>#REF!</v>
      </c>
    </row>
    <row r="1288" spans="1:9" hidden="1" x14ac:dyDescent="0.25">
      <c r="A1288" s="114" t="s">
        <v>3539</v>
      </c>
      <c r="B1288" s="115" t="s">
        <v>3592</v>
      </c>
      <c r="C1288" s="116" t="s">
        <v>20</v>
      </c>
      <c r="D1288" s="116">
        <v>0</v>
      </c>
      <c r="E1288" s="136">
        <f ca="1">OFFSET(INDEX(Composições!A:J,MATCH(Orçamentária!A1288,Composições!A:A,0),8),2,0)</f>
        <v>12.03138045</v>
      </c>
      <c r="F1288" s="137">
        <f t="shared" ca="1" si="60"/>
        <v>0</v>
      </c>
      <c r="G1288" s="138" t="e">
        <f>IF(A1288&lt;&gt;"",IF(AND(#REF!="Padrão",$H$4=#REF!),BDI!$B$17,IF(AND(#REF!="Padrão",$H$4=#REF!),BDI!#REF!,IF(AND(#REF!="Diferenciado",$H$4=#REF!),BDI!$E$17,IF(AND(#REF!="Diferenciado",$H$4=#REF!),BDI!#REF!,IF(#REF!="ZERO",0))))),"")</f>
        <v>#REF!</v>
      </c>
      <c r="H1288" s="139" t="e">
        <f t="shared" ca="1" si="61"/>
        <v>#REF!</v>
      </c>
      <c r="I1288" s="137" t="e">
        <f t="shared" ca="1" si="62"/>
        <v>#REF!</v>
      </c>
    </row>
    <row r="1289" spans="1:9" hidden="1" x14ac:dyDescent="0.25">
      <c r="A1289" s="114" t="s">
        <v>3540</v>
      </c>
      <c r="B1289" s="115" t="s">
        <v>3593</v>
      </c>
      <c r="C1289" s="116" t="s">
        <v>20</v>
      </c>
      <c r="D1289" s="116">
        <v>0</v>
      </c>
      <c r="E1289" s="136">
        <f ca="1">OFFSET(INDEX(Composições!A:J,MATCH(Orçamentária!A1289,Composições!A:A,0),8),2,0)</f>
        <v>233.76460000000003</v>
      </c>
      <c r="F1289" s="137">
        <f t="shared" ca="1" si="60"/>
        <v>0</v>
      </c>
      <c r="G1289" s="138" t="e">
        <f>IF(A1289&lt;&gt;"",IF(AND(#REF!="Padrão",$H$4=#REF!),BDI!$B$17,IF(AND(#REF!="Padrão",$H$4=#REF!),BDI!#REF!,IF(AND(#REF!="Diferenciado",$H$4=#REF!),BDI!$E$17,IF(AND(#REF!="Diferenciado",$H$4=#REF!),BDI!#REF!,IF(#REF!="ZERO",0))))),"")</f>
        <v>#REF!</v>
      </c>
      <c r="H1289" s="139" t="e">
        <f t="shared" ca="1" si="61"/>
        <v>#REF!</v>
      </c>
      <c r="I1289" s="137" t="e">
        <f t="shared" ca="1" si="62"/>
        <v>#REF!</v>
      </c>
    </row>
    <row r="1290" spans="1:9" hidden="1" x14ac:dyDescent="0.25">
      <c r="A1290" s="114" t="s">
        <v>3541</v>
      </c>
      <c r="B1290" s="115" t="s">
        <v>3594</v>
      </c>
      <c r="C1290" s="116" t="s">
        <v>20</v>
      </c>
      <c r="D1290" s="116">
        <v>0</v>
      </c>
      <c r="E1290" s="136">
        <f ca="1">OFFSET(INDEX(Composições!A:J,MATCH(Orçamentária!A1290,Composições!A:A,0),8),2,0)</f>
        <v>16.9208414</v>
      </c>
      <c r="F1290" s="137">
        <f t="shared" ca="1" si="60"/>
        <v>0</v>
      </c>
      <c r="G1290" s="138" t="e">
        <f>IF(A1290&lt;&gt;"",IF(AND(#REF!="Padrão",$H$4=#REF!),BDI!$B$17,IF(AND(#REF!="Padrão",$H$4=#REF!),BDI!#REF!,IF(AND(#REF!="Diferenciado",$H$4=#REF!),BDI!$E$17,IF(AND(#REF!="Diferenciado",$H$4=#REF!),BDI!#REF!,IF(#REF!="ZERO",0))))),"")</f>
        <v>#REF!</v>
      </c>
      <c r="H1290" s="139" t="e">
        <f t="shared" ca="1" si="61"/>
        <v>#REF!</v>
      </c>
      <c r="I1290" s="137" t="e">
        <f t="shared" ca="1" si="62"/>
        <v>#REF!</v>
      </c>
    </row>
    <row r="1291" spans="1:9" hidden="1" x14ac:dyDescent="0.25">
      <c r="A1291" s="114" t="s">
        <v>3542</v>
      </c>
      <c r="B1291" s="115" t="s">
        <v>3595</v>
      </c>
      <c r="C1291" s="116" t="s">
        <v>20</v>
      </c>
      <c r="D1291" s="116">
        <v>0</v>
      </c>
      <c r="E1291" s="136">
        <f ca="1">OFFSET(INDEX(Composições!A:J,MATCH(Orçamentária!A1291,Composições!A:A,0),8),2,0)</f>
        <v>8.4615018000000006</v>
      </c>
      <c r="F1291" s="137">
        <f t="shared" ca="1" si="60"/>
        <v>0</v>
      </c>
      <c r="G1291" s="138" t="e">
        <f>IF(A1291&lt;&gt;"",IF(AND(#REF!="Padrão",$H$4=#REF!),BDI!$B$17,IF(AND(#REF!="Padrão",$H$4=#REF!),BDI!#REF!,IF(AND(#REF!="Diferenciado",$H$4=#REF!),BDI!$E$17,IF(AND(#REF!="Diferenciado",$H$4=#REF!),BDI!#REF!,IF(#REF!="ZERO",0))))),"")</f>
        <v>#REF!</v>
      </c>
      <c r="H1291" s="139" t="e">
        <f t="shared" ca="1" si="61"/>
        <v>#REF!</v>
      </c>
      <c r="I1291" s="137" t="e">
        <f t="shared" ca="1" si="62"/>
        <v>#REF!</v>
      </c>
    </row>
    <row r="1292" spans="1:9" hidden="1" x14ac:dyDescent="0.25">
      <c r="A1292" s="114" t="s">
        <v>3543</v>
      </c>
      <c r="B1292" s="115" t="s">
        <v>3596</v>
      </c>
      <c r="C1292" s="116" t="s">
        <v>20</v>
      </c>
      <c r="D1292" s="116">
        <v>0</v>
      </c>
      <c r="E1292" s="136">
        <f ca="1">OFFSET(INDEX(Composições!A:J,MATCH(Orçamentária!A1292,Composições!A:A,0),8),2,0)</f>
        <v>13.911534</v>
      </c>
      <c r="F1292" s="137">
        <f t="shared" ref="F1292:F1296" ca="1" si="63">IF(ISNUMBER(E1292),D1292*E1292,"")</f>
        <v>0</v>
      </c>
      <c r="G1292" s="138" t="e">
        <f>IF(A1292&lt;&gt;"",IF(AND(#REF!="Padrão",$H$4=#REF!),BDI!$B$17,IF(AND(#REF!="Padrão",$H$4=#REF!),BDI!#REF!,IF(AND(#REF!="Diferenciado",$H$4=#REF!),BDI!$E$17,IF(AND(#REF!="Diferenciado",$H$4=#REF!),BDI!#REF!,IF(#REF!="ZERO",0))))),"")</f>
        <v>#REF!</v>
      </c>
      <c r="H1292" s="139" t="e">
        <f t="shared" ref="H1292:H1296" ca="1" si="64">IF(ISNUMBER(E1292),ROUND(E1292*(1+G1292),2),"")</f>
        <v>#REF!</v>
      </c>
      <c r="I1292" s="137" t="e">
        <f t="shared" ref="I1292:I1296" ca="1" si="65">IF(ISNUMBER(E1292),ROUND(H1292*D1292,2),"")</f>
        <v>#REF!</v>
      </c>
    </row>
    <row r="1293" spans="1:9" hidden="1" x14ac:dyDescent="0.25">
      <c r="A1293" s="114" t="s">
        <v>3544</v>
      </c>
      <c r="B1293" s="115" t="s">
        <v>3597</v>
      </c>
      <c r="C1293" s="116" t="s">
        <v>20</v>
      </c>
      <c r="D1293" s="116">
        <v>0</v>
      </c>
      <c r="E1293" s="136">
        <f ca="1">OFFSET(INDEX(Composições!A:J,MATCH(Orçamentária!A1293,Composições!A:A,0),8),2,0)</f>
        <v>13.667650000000002</v>
      </c>
      <c r="F1293" s="137">
        <f t="shared" ca="1" si="63"/>
        <v>0</v>
      </c>
      <c r="G1293" s="138" t="e">
        <f>IF(A1293&lt;&gt;"",IF(AND(#REF!="Padrão",$H$4=#REF!),BDI!$B$17,IF(AND(#REF!="Padrão",$H$4=#REF!),BDI!#REF!,IF(AND(#REF!="Diferenciado",$H$4=#REF!),BDI!$E$17,IF(AND(#REF!="Diferenciado",$H$4=#REF!),BDI!#REF!,IF(#REF!="ZERO",0))))),"")</f>
        <v>#REF!</v>
      </c>
      <c r="H1293" s="139" t="e">
        <f t="shared" ca="1" si="64"/>
        <v>#REF!</v>
      </c>
      <c r="I1293" s="137" t="e">
        <f t="shared" ca="1" si="65"/>
        <v>#REF!</v>
      </c>
    </row>
    <row r="1294" spans="1:9" hidden="1" x14ac:dyDescent="0.25">
      <c r="A1294" s="114" t="s">
        <v>3545</v>
      </c>
      <c r="B1294" s="115" t="s">
        <v>3598</v>
      </c>
      <c r="C1294" s="116" t="s">
        <v>20</v>
      </c>
      <c r="D1294" s="116">
        <v>0</v>
      </c>
      <c r="E1294" s="136">
        <f ca="1">OFFSET(INDEX(Composições!A:J,MATCH(Orçamentária!A1294,Composições!A:A,0),8),2,0)</f>
        <v>99.826573800000006</v>
      </c>
      <c r="F1294" s="137">
        <f t="shared" ca="1" si="63"/>
        <v>0</v>
      </c>
      <c r="G1294" s="138" t="e">
        <f>IF(A1294&lt;&gt;"",IF(AND(#REF!="Padrão",$H$4=#REF!),BDI!$B$17,IF(AND(#REF!="Padrão",$H$4=#REF!),BDI!#REF!,IF(AND(#REF!="Diferenciado",$H$4=#REF!),BDI!$E$17,IF(AND(#REF!="Diferenciado",$H$4=#REF!),BDI!#REF!,IF(#REF!="ZERO",0))))),"")</f>
        <v>#REF!</v>
      </c>
      <c r="H1294" s="139" t="e">
        <f t="shared" ca="1" si="64"/>
        <v>#REF!</v>
      </c>
      <c r="I1294" s="137" t="e">
        <f t="shared" ca="1" si="65"/>
        <v>#REF!</v>
      </c>
    </row>
    <row r="1295" spans="1:9" hidden="1" x14ac:dyDescent="0.25">
      <c r="A1295" s="114" t="s">
        <v>3546</v>
      </c>
      <c r="B1295" s="115" t="s">
        <v>3599</v>
      </c>
      <c r="C1295" s="116" t="s">
        <v>20</v>
      </c>
      <c r="D1295" s="116">
        <v>0</v>
      </c>
      <c r="E1295" s="136" t="s">
        <v>572</v>
      </c>
      <c r="F1295" s="137" t="str">
        <f t="shared" si="63"/>
        <v/>
      </c>
      <c r="G1295" s="138" t="e">
        <f>IF(A1295&lt;&gt;"",IF(AND(#REF!="Padrão",$H$4=#REF!),BDI!$B$17,IF(AND(#REF!="Padrão",$H$4=#REF!),BDI!#REF!,IF(AND(#REF!="Diferenciado",$H$4=#REF!),BDI!$E$17,IF(AND(#REF!="Diferenciado",$H$4=#REF!),BDI!#REF!,IF(#REF!="ZERO",0))))),"")</f>
        <v>#REF!</v>
      </c>
      <c r="H1295" s="139" t="str">
        <f t="shared" si="64"/>
        <v/>
      </c>
      <c r="I1295" s="137" t="str">
        <f t="shared" si="65"/>
        <v/>
      </c>
    </row>
    <row r="1296" spans="1:9" hidden="1" x14ac:dyDescent="0.25">
      <c r="A1296" s="114" t="s">
        <v>3547</v>
      </c>
      <c r="B1296" s="115" t="s">
        <v>3782</v>
      </c>
      <c r="C1296" s="116" t="s">
        <v>96</v>
      </c>
      <c r="D1296" s="116">
        <v>0</v>
      </c>
      <c r="E1296" s="136" t="s">
        <v>572</v>
      </c>
      <c r="F1296" s="137" t="str">
        <f t="shared" si="63"/>
        <v/>
      </c>
      <c r="G1296" s="138" t="e">
        <f>IF(A1296&lt;&gt;"",IF(AND(#REF!="Padrão",$H$4=#REF!),BDI!$B$17,IF(AND(#REF!="Padrão",$H$4=#REF!),BDI!#REF!,IF(AND(#REF!="Diferenciado",$H$4=#REF!),BDI!$E$17,IF(AND(#REF!="Diferenciado",$H$4=#REF!),BDI!#REF!,IF(#REF!="ZERO",0))))),"")</f>
        <v>#REF!</v>
      </c>
      <c r="H1296" s="139" t="str">
        <f t="shared" si="64"/>
        <v/>
      </c>
      <c r="I1296" s="137" t="str">
        <f t="shared" si="65"/>
        <v/>
      </c>
    </row>
    <row r="1297" spans="1:9" hidden="1" x14ac:dyDescent="0.25">
      <c r="A1297" s="114" t="s">
        <v>3603</v>
      </c>
      <c r="B1297" s="115" t="s">
        <v>3600</v>
      </c>
      <c r="C1297" s="116" t="s">
        <v>20</v>
      </c>
      <c r="D1297" s="116">
        <v>0</v>
      </c>
      <c r="E1297" s="136" t="s">
        <v>572</v>
      </c>
      <c r="F1297" s="137" t="str">
        <f t="shared" ref="F1297:F1299" si="66">IF(ISNUMBER(E1297),D1297*E1297,"")</f>
        <v/>
      </c>
      <c r="G1297" s="138" t="e">
        <f>IF(A1297&lt;&gt;"",IF(AND(#REF!="Padrão",$H$4=#REF!),BDI!$B$17,IF(AND(#REF!="Padrão",$H$4=#REF!),BDI!#REF!,IF(AND(#REF!="Diferenciado",$H$4=#REF!),BDI!$E$17,IF(AND(#REF!="Diferenciado",$H$4=#REF!),BDI!#REF!,IF(#REF!="ZERO",0))))),"")</f>
        <v>#REF!</v>
      </c>
      <c r="H1297" s="139" t="str">
        <f t="shared" ref="H1297:H1299" si="67">IF(ISNUMBER(E1297),ROUND(E1297*(1+G1297),2),"")</f>
        <v/>
      </c>
      <c r="I1297" s="137" t="str">
        <f t="shared" ref="I1297:I1299" si="68">IF(ISNUMBER(E1297),ROUND(H1297*D1297,2),"")</f>
        <v/>
      </c>
    </row>
    <row r="1298" spans="1:9" hidden="1" x14ac:dyDescent="0.25">
      <c r="A1298" s="114" t="s">
        <v>3604</v>
      </c>
      <c r="B1298" s="115" t="s">
        <v>3601</v>
      </c>
      <c r="C1298" s="116" t="s">
        <v>20</v>
      </c>
      <c r="D1298" s="116">
        <v>0</v>
      </c>
      <c r="E1298" s="136" t="s">
        <v>572</v>
      </c>
      <c r="F1298" s="137" t="str">
        <f t="shared" si="66"/>
        <v/>
      </c>
      <c r="G1298" s="138" t="e">
        <f>IF(A1298&lt;&gt;"",IF(AND(#REF!="Padrão",$H$4=#REF!),BDI!$B$17,IF(AND(#REF!="Padrão",$H$4=#REF!),BDI!#REF!,IF(AND(#REF!="Diferenciado",$H$4=#REF!),BDI!$E$17,IF(AND(#REF!="Diferenciado",$H$4=#REF!),BDI!#REF!,IF(#REF!="ZERO",0))))),"")</f>
        <v>#REF!</v>
      </c>
      <c r="H1298" s="139" t="str">
        <f t="shared" si="67"/>
        <v/>
      </c>
      <c r="I1298" s="137" t="str">
        <f t="shared" si="68"/>
        <v/>
      </c>
    </row>
    <row r="1299" spans="1:9" hidden="1" x14ac:dyDescent="0.25">
      <c r="A1299" s="114" t="s">
        <v>3605</v>
      </c>
      <c r="B1299" s="115" t="s">
        <v>3602</v>
      </c>
      <c r="C1299" s="116" t="s">
        <v>20</v>
      </c>
      <c r="D1299" s="116">
        <v>0</v>
      </c>
      <c r="E1299" s="136" t="s">
        <v>572</v>
      </c>
      <c r="F1299" s="137" t="str">
        <f t="shared" si="66"/>
        <v/>
      </c>
      <c r="G1299" s="138" t="e">
        <f>IF(A1299&lt;&gt;"",IF(AND(#REF!="Padrão",$H$4=#REF!),BDI!$B$17,IF(AND(#REF!="Padrão",$H$4=#REF!),BDI!#REF!,IF(AND(#REF!="Diferenciado",$H$4=#REF!),BDI!$E$17,IF(AND(#REF!="Diferenciado",$H$4=#REF!),BDI!#REF!,IF(#REF!="ZERO",0))))),"")</f>
        <v>#REF!</v>
      </c>
      <c r="H1299" s="139" t="str">
        <f t="shared" si="67"/>
        <v/>
      </c>
      <c r="I1299" s="137" t="str">
        <f t="shared" si="68"/>
        <v/>
      </c>
    </row>
    <row r="1300" spans="1:9" hidden="1" x14ac:dyDescent="0.25">
      <c r="A1300" s="114" t="s">
        <v>3674</v>
      </c>
      <c r="B1300" s="115" t="s">
        <v>3675</v>
      </c>
      <c r="C1300" s="116" t="s">
        <v>96</v>
      </c>
      <c r="D1300" s="116">
        <v>0</v>
      </c>
      <c r="E1300" s="136">
        <f ca="1">OFFSET(INDEX(Composições!A:J,MATCH(Orçamentária!A1300,Composições!A:A,0),8),2,0)</f>
        <v>163.25716664047619</v>
      </c>
      <c r="F1300" s="137">
        <f t="shared" ref="F1300:F1343" ca="1" si="69">IF(ISNUMBER(E1300),D1300*E1300,"")</f>
        <v>0</v>
      </c>
      <c r="G1300" s="138" t="e">
        <f>IF(A1300&lt;&gt;"",IF(AND(#REF!="Padrão",$H$4=#REF!),BDI!$B$17,IF(AND(#REF!="Padrão",$H$4=#REF!),BDI!#REF!,IF(AND(#REF!="Diferenciado",$H$4=#REF!),BDI!$E$17,IF(AND(#REF!="Diferenciado",$H$4=#REF!),BDI!#REF!,IF(#REF!="ZERO",0))))),"")</f>
        <v>#REF!</v>
      </c>
      <c r="H1300" s="139" t="e">
        <f t="shared" ref="H1300:H1343" ca="1" si="70">IF(ISNUMBER(E1300),ROUND(E1300*(1+G1300),2),"")</f>
        <v>#REF!</v>
      </c>
      <c r="I1300" s="137" t="e">
        <f t="shared" ref="I1300:I1343" ca="1" si="71">IF(ISNUMBER(E1300),ROUND(H1300*D1300,2),"")</f>
        <v>#REF!</v>
      </c>
    </row>
    <row r="1301" spans="1:9" hidden="1" x14ac:dyDescent="0.25">
      <c r="A1301" s="114" t="s">
        <v>3676</v>
      </c>
      <c r="B1301" s="115" t="s">
        <v>3677</v>
      </c>
      <c r="C1301" s="116" t="s">
        <v>96</v>
      </c>
      <c r="D1301" s="116">
        <v>0</v>
      </c>
      <c r="E1301" s="136">
        <f ca="1">OFFSET(INDEX(Composições!A:J,MATCH(Orçamentária!A1301,Composições!A:A,0),8),2,0)</f>
        <v>175.23675711666667</v>
      </c>
      <c r="F1301" s="137">
        <f t="shared" ca="1" si="69"/>
        <v>0</v>
      </c>
      <c r="G1301" s="138" t="e">
        <f>IF(A1301&lt;&gt;"",IF(AND(#REF!="Padrão",$H$4=#REF!),BDI!$B$17,IF(AND(#REF!="Padrão",$H$4=#REF!),BDI!#REF!,IF(AND(#REF!="Diferenciado",$H$4=#REF!),BDI!$E$17,IF(AND(#REF!="Diferenciado",$H$4=#REF!),BDI!#REF!,IF(#REF!="ZERO",0))))),"")</f>
        <v>#REF!</v>
      </c>
      <c r="H1301" s="139" t="e">
        <f t="shared" ca="1" si="70"/>
        <v>#REF!</v>
      </c>
      <c r="I1301" s="137" t="e">
        <f t="shared" ca="1" si="71"/>
        <v>#REF!</v>
      </c>
    </row>
    <row r="1302" spans="1:9" ht="25.5" hidden="1" x14ac:dyDescent="0.25">
      <c r="A1302" s="114" t="s">
        <v>3678</v>
      </c>
      <c r="B1302" s="115" t="s">
        <v>3679</v>
      </c>
      <c r="C1302" s="116" t="s">
        <v>20</v>
      </c>
      <c r="D1302" s="116">
        <v>0</v>
      </c>
      <c r="E1302" s="136" t="s">
        <v>572</v>
      </c>
      <c r="F1302" s="137" t="str">
        <f t="shared" si="69"/>
        <v/>
      </c>
      <c r="G1302" s="138" t="e">
        <f>IF(A1302&lt;&gt;"",IF(AND(#REF!="Padrão",$H$4=#REF!),BDI!$B$17,IF(AND(#REF!="Padrão",$H$4=#REF!),BDI!#REF!,IF(AND(#REF!="Diferenciado",$H$4=#REF!),BDI!$E$17,IF(AND(#REF!="Diferenciado",$H$4=#REF!),BDI!#REF!,IF(#REF!="ZERO",0))))),"")</f>
        <v>#REF!</v>
      </c>
      <c r="H1302" s="139" t="str">
        <f t="shared" si="70"/>
        <v/>
      </c>
      <c r="I1302" s="137" t="str">
        <f t="shared" si="71"/>
        <v/>
      </c>
    </row>
    <row r="1303" spans="1:9" ht="25.5" hidden="1" x14ac:dyDescent="0.25">
      <c r="A1303" s="114" t="s">
        <v>3680</v>
      </c>
      <c r="B1303" s="115" t="s">
        <v>3681</v>
      </c>
      <c r="C1303" s="116" t="s">
        <v>20</v>
      </c>
      <c r="D1303" s="116">
        <v>0</v>
      </c>
      <c r="E1303" s="136" t="s">
        <v>572</v>
      </c>
      <c r="F1303" s="137" t="str">
        <f t="shared" si="69"/>
        <v/>
      </c>
      <c r="G1303" s="138" t="e">
        <f>IF(A1303&lt;&gt;"",IF(AND(#REF!="Padrão",$H$4=#REF!),BDI!$B$17,IF(AND(#REF!="Padrão",$H$4=#REF!),BDI!#REF!,IF(AND(#REF!="Diferenciado",$H$4=#REF!),BDI!$E$17,IF(AND(#REF!="Diferenciado",$H$4=#REF!),BDI!#REF!,IF(#REF!="ZERO",0))))),"")</f>
        <v>#REF!</v>
      </c>
      <c r="H1303" s="139" t="str">
        <f t="shared" si="70"/>
        <v/>
      </c>
      <c r="I1303" s="137" t="str">
        <f t="shared" si="71"/>
        <v/>
      </c>
    </row>
    <row r="1304" spans="1:9" ht="25.5" hidden="1" x14ac:dyDescent="0.25">
      <c r="A1304" s="114" t="s">
        <v>3682</v>
      </c>
      <c r="B1304" s="115" t="s">
        <v>3683</v>
      </c>
      <c r="C1304" s="116" t="s">
        <v>20</v>
      </c>
      <c r="D1304" s="116">
        <v>0</v>
      </c>
      <c r="E1304" s="136" t="s">
        <v>572</v>
      </c>
      <c r="F1304" s="137" t="str">
        <f t="shared" si="69"/>
        <v/>
      </c>
      <c r="G1304" s="138" t="e">
        <f>IF(A1304&lt;&gt;"",IF(AND(#REF!="Padrão",$H$4=#REF!),BDI!$B$17,IF(AND(#REF!="Padrão",$H$4=#REF!),BDI!#REF!,IF(AND(#REF!="Diferenciado",$H$4=#REF!),BDI!$E$17,IF(AND(#REF!="Diferenciado",$H$4=#REF!),BDI!#REF!,IF(#REF!="ZERO",0))))),"")</f>
        <v>#REF!</v>
      </c>
      <c r="H1304" s="139" t="str">
        <f t="shared" si="70"/>
        <v/>
      </c>
      <c r="I1304" s="137" t="str">
        <f t="shared" si="71"/>
        <v/>
      </c>
    </row>
    <row r="1305" spans="1:9" ht="25.5" hidden="1" x14ac:dyDescent="0.25">
      <c r="A1305" s="114" t="s">
        <v>3684</v>
      </c>
      <c r="B1305" s="115" t="s">
        <v>3685</v>
      </c>
      <c r="C1305" s="116" t="s">
        <v>20</v>
      </c>
      <c r="D1305" s="116">
        <v>0</v>
      </c>
      <c r="E1305" s="136" t="s">
        <v>572</v>
      </c>
      <c r="F1305" s="137" t="str">
        <f t="shared" si="69"/>
        <v/>
      </c>
      <c r="G1305" s="138" t="e">
        <f>IF(A1305&lt;&gt;"",IF(AND(#REF!="Padrão",$H$4=#REF!),BDI!$B$17,IF(AND(#REF!="Padrão",$H$4=#REF!),BDI!#REF!,IF(AND(#REF!="Diferenciado",$H$4=#REF!),BDI!$E$17,IF(AND(#REF!="Diferenciado",$H$4=#REF!),BDI!#REF!,IF(#REF!="ZERO",0))))),"")</f>
        <v>#REF!</v>
      </c>
      <c r="H1305" s="139" t="str">
        <f t="shared" si="70"/>
        <v/>
      </c>
      <c r="I1305" s="137" t="str">
        <f t="shared" si="71"/>
        <v/>
      </c>
    </row>
    <row r="1306" spans="1:9" ht="38.25" hidden="1" x14ac:dyDescent="0.25">
      <c r="A1306" s="114" t="s">
        <v>3686</v>
      </c>
      <c r="B1306" s="115" t="s">
        <v>3687</v>
      </c>
      <c r="C1306" s="116" t="s">
        <v>20</v>
      </c>
      <c r="D1306" s="116">
        <v>0</v>
      </c>
      <c r="E1306" s="136" t="s">
        <v>572</v>
      </c>
      <c r="F1306" s="137" t="str">
        <f t="shared" si="69"/>
        <v/>
      </c>
      <c r="G1306" s="138" t="e">
        <f>IF(A1306&lt;&gt;"",IF(AND(#REF!="Padrão",$H$4=#REF!),BDI!$B$17,IF(AND(#REF!="Padrão",$H$4=#REF!),BDI!#REF!,IF(AND(#REF!="Diferenciado",$H$4=#REF!),BDI!$E$17,IF(AND(#REF!="Diferenciado",$H$4=#REF!),BDI!#REF!,IF(#REF!="ZERO",0))))),"")</f>
        <v>#REF!</v>
      </c>
      <c r="H1306" s="139" t="str">
        <f t="shared" si="70"/>
        <v/>
      </c>
      <c r="I1306" s="137" t="str">
        <f t="shared" si="71"/>
        <v/>
      </c>
    </row>
    <row r="1307" spans="1:9" ht="25.5" hidden="1" x14ac:dyDescent="0.25">
      <c r="A1307" s="114" t="s">
        <v>3688</v>
      </c>
      <c r="B1307" s="115" t="s">
        <v>3689</v>
      </c>
      <c r="C1307" s="116" t="s">
        <v>20</v>
      </c>
      <c r="D1307" s="116">
        <v>0</v>
      </c>
      <c r="E1307" s="136" t="s">
        <v>572</v>
      </c>
      <c r="F1307" s="137" t="str">
        <f t="shared" si="69"/>
        <v/>
      </c>
      <c r="G1307" s="138" t="e">
        <f>IF(A1307&lt;&gt;"",IF(AND(#REF!="Padrão",$H$4=#REF!),BDI!$B$17,IF(AND(#REF!="Padrão",$H$4=#REF!),BDI!#REF!,IF(AND(#REF!="Diferenciado",$H$4=#REF!),BDI!$E$17,IF(AND(#REF!="Diferenciado",$H$4=#REF!),BDI!#REF!,IF(#REF!="ZERO",0))))),"")</f>
        <v>#REF!</v>
      </c>
      <c r="H1307" s="139" t="str">
        <f t="shared" si="70"/>
        <v/>
      </c>
      <c r="I1307" s="137" t="str">
        <f t="shared" si="71"/>
        <v/>
      </c>
    </row>
    <row r="1308" spans="1:9" ht="25.5" hidden="1" x14ac:dyDescent="0.25">
      <c r="A1308" s="114" t="s">
        <v>3690</v>
      </c>
      <c r="B1308" s="115" t="s">
        <v>3691</v>
      </c>
      <c r="C1308" s="116" t="s">
        <v>20</v>
      </c>
      <c r="D1308" s="116">
        <v>0</v>
      </c>
      <c r="E1308" s="136" t="s">
        <v>572</v>
      </c>
      <c r="F1308" s="137" t="str">
        <f t="shared" si="69"/>
        <v/>
      </c>
      <c r="G1308" s="138" t="e">
        <f>IF(A1308&lt;&gt;"",IF(AND(#REF!="Padrão",$H$4=#REF!),BDI!$B$17,IF(AND(#REF!="Padrão",$H$4=#REF!),BDI!#REF!,IF(AND(#REF!="Diferenciado",$H$4=#REF!),BDI!$E$17,IF(AND(#REF!="Diferenciado",$H$4=#REF!),BDI!#REF!,IF(#REF!="ZERO",0))))),"")</f>
        <v>#REF!</v>
      </c>
      <c r="H1308" s="139" t="str">
        <f t="shared" si="70"/>
        <v/>
      </c>
      <c r="I1308" s="137" t="str">
        <f t="shared" si="71"/>
        <v/>
      </c>
    </row>
    <row r="1309" spans="1:9" ht="38.25" hidden="1" x14ac:dyDescent="0.25">
      <c r="A1309" s="114" t="s">
        <v>3692</v>
      </c>
      <c r="B1309" s="115" t="s">
        <v>3693</v>
      </c>
      <c r="C1309" s="116" t="s">
        <v>20</v>
      </c>
      <c r="D1309" s="116">
        <v>0</v>
      </c>
      <c r="E1309" s="136" t="s">
        <v>572</v>
      </c>
      <c r="F1309" s="137" t="str">
        <f t="shared" si="69"/>
        <v/>
      </c>
      <c r="G1309" s="138" t="e">
        <f>IF(A1309&lt;&gt;"",IF(AND(#REF!="Padrão",$H$4=#REF!),BDI!$B$17,IF(AND(#REF!="Padrão",$H$4=#REF!),BDI!#REF!,IF(AND(#REF!="Diferenciado",$H$4=#REF!),BDI!$E$17,IF(AND(#REF!="Diferenciado",$H$4=#REF!),BDI!#REF!,IF(#REF!="ZERO",0))))),"")</f>
        <v>#REF!</v>
      </c>
      <c r="H1309" s="139" t="str">
        <f t="shared" si="70"/>
        <v/>
      </c>
      <c r="I1309" s="137" t="str">
        <f t="shared" si="71"/>
        <v/>
      </c>
    </row>
    <row r="1310" spans="1:9" ht="38.25" hidden="1" x14ac:dyDescent="0.25">
      <c r="A1310" s="114" t="s">
        <v>3694</v>
      </c>
      <c r="B1310" s="115" t="s">
        <v>3695</v>
      </c>
      <c r="C1310" s="116" t="s">
        <v>20</v>
      </c>
      <c r="D1310" s="116">
        <v>0</v>
      </c>
      <c r="E1310" s="136" t="s">
        <v>572</v>
      </c>
      <c r="F1310" s="137" t="str">
        <f t="shared" si="69"/>
        <v/>
      </c>
      <c r="G1310" s="138" t="e">
        <f>IF(A1310&lt;&gt;"",IF(AND(#REF!="Padrão",$H$4=#REF!),BDI!$B$17,IF(AND(#REF!="Padrão",$H$4=#REF!),BDI!#REF!,IF(AND(#REF!="Diferenciado",$H$4=#REF!),BDI!$E$17,IF(AND(#REF!="Diferenciado",$H$4=#REF!),BDI!#REF!,IF(#REF!="ZERO",0))))),"")</f>
        <v>#REF!</v>
      </c>
      <c r="H1310" s="139" t="str">
        <f t="shared" si="70"/>
        <v/>
      </c>
      <c r="I1310" s="137" t="str">
        <f t="shared" si="71"/>
        <v/>
      </c>
    </row>
    <row r="1311" spans="1:9" ht="25.5" hidden="1" x14ac:dyDescent="0.25">
      <c r="A1311" s="114" t="s">
        <v>3696</v>
      </c>
      <c r="B1311" s="115" t="s">
        <v>3697</v>
      </c>
      <c r="C1311" s="116" t="s">
        <v>20</v>
      </c>
      <c r="D1311" s="116">
        <v>0</v>
      </c>
      <c r="E1311" s="136" t="s">
        <v>572</v>
      </c>
      <c r="F1311" s="137" t="str">
        <f t="shared" si="69"/>
        <v/>
      </c>
      <c r="G1311" s="138" t="e">
        <f>IF(A1311&lt;&gt;"",IF(AND(#REF!="Padrão",$H$4=#REF!),BDI!$B$17,IF(AND(#REF!="Padrão",$H$4=#REF!),BDI!#REF!,IF(AND(#REF!="Diferenciado",$H$4=#REF!),BDI!$E$17,IF(AND(#REF!="Diferenciado",$H$4=#REF!),BDI!#REF!,IF(#REF!="ZERO",0))))),"")</f>
        <v>#REF!</v>
      </c>
      <c r="H1311" s="139" t="str">
        <f t="shared" si="70"/>
        <v/>
      </c>
      <c r="I1311" s="137" t="str">
        <f t="shared" si="71"/>
        <v/>
      </c>
    </row>
    <row r="1312" spans="1:9" ht="38.25" hidden="1" x14ac:dyDescent="0.25">
      <c r="A1312" s="114" t="s">
        <v>3698</v>
      </c>
      <c r="B1312" s="115" t="s">
        <v>3699</v>
      </c>
      <c r="C1312" s="116" t="s">
        <v>20</v>
      </c>
      <c r="D1312" s="116">
        <v>0</v>
      </c>
      <c r="E1312" s="136" t="s">
        <v>572</v>
      </c>
      <c r="F1312" s="137" t="str">
        <f t="shared" si="69"/>
        <v/>
      </c>
      <c r="G1312" s="138" t="e">
        <f>IF(A1312&lt;&gt;"",IF(AND(#REF!="Padrão",$H$4=#REF!),BDI!$B$17,IF(AND(#REF!="Padrão",$H$4=#REF!),BDI!#REF!,IF(AND(#REF!="Diferenciado",$H$4=#REF!),BDI!$E$17,IF(AND(#REF!="Diferenciado",$H$4=#REF!),BDI!#REF!,IF(#REF!="ZERO",0))))),"")</f>
        <v>#REF!</v>
      </c>
      <c r="H1312" s="139" t="str">
        <f t="shared" si="70"/>
        <v/>
      </c>
      <c r="I1312" s="137" t="str">
        <f t="shared" si="71"/>
        <v/>
      </c>
    </row>
    <row r="1313" spans="1:11" ht="25.5" hidden="1" x14ac:dyDescent="0.25">
      <c r="A1313" s="114" t="s">
        <v>3700</v>
      </c>
      <c r="B1313" s="115" t="s">
        <v>3701</v>
      </c>
      <c r="C1313" s="116" t="s">
        <v>20</v>
      </c>
      <c r="D1313" s="116">
        <v>0</v>
      </c>
      <c r="E1313" s="136" t="s">
        <v>572</v>
      </c>
      <c r="F1313" s="137" t="str">
        <f t="shared" si="69"/>
        <v/>
      </c>
      <c r="G1313" s="138" t="e">
        <f>IF(A1313&lt;&gt;"",IF(AND(#REF!="Padrão",$H$4=#REF!),BDI!$B$17,IF(AND(#REF!="Padrão",$H$4=#REF!),BDI!#REF!,IF(AND(#REF!="Diferenciado",$H$4=#REF!),BDI!$E$17,IF(AND(#REF!="Diferenciado",$H$4=#REF!),BDI!#REF!,IF(#REF!="ZERO",0))))),"")</f>
        <v>#REF!</v>
      </c>
      <c r="H1313" s="139" t="str">
        <f t="shared" si="70"/>
        <v/>
      </c>
      <c r="I1313" s="137" t="str">
        <f t="shared" si="71"/>
        <v/>
      </c>
    </row>
    <row r="1314" spans="1:11" ht="38.25" hidden="1" x14ac:dyDescent="0.25">
      <c r="A1314" s="114" t="s">
        <v>3702</v>
      </c>
      <c r="B1314" s="115" t="s">
        <v>3703</v>
      </c>
      <c r="C1314" s="116" t="s">
        <v>20</v>
      </c>
      <c r="D1314" s="116">
        <v>0</v>
      </c>
      <c r="E1314" s="136" t="s">
        <v>572</v>
      </c>
      <c r="F1314" s="137" t="str">
        <f t="shared" si="69"/>
        <v/>
      </c>
      <c r="G1314" s="138" t="e">
        <f>IF(A1314&lt;&gt;"",IF(AND(#REF!="Padrão",$H$4=#REF!),BDI!$B$17,IF(AND(#REF!="Padrão",$H$4=#REF!),BDI!#REF!,IF(AND(#REF!="Diferenciado",$H$4=#REF!),BDI!$E$17,IF(AND(#REF!="Diferenciado",$H$4=#REF!),BDI!#REF!,IF(#REF!="ZERO",0))))),"")</f>
        <v>#REF!</v>
      </c>
      <c r="H1314" s="139" t="str">
        <f t="shared" si="70"/>
        <v/>
      </c>
      <c r="I1314" s="137" t="str">
        <f t="shared" si="71"/>
        <v/>
      </c>
    </row>
    <row r="1315" spans="1:11" x14ac:dyDescent="0.25">
      <c r="A1315" s="187" t="s">
        <v>3704</v>
      </c>
      <c r="B1315" s="188" t="s">
        <v>3705</v>
      </c>
      <c r="C1315" s="189" t="s">
        <v>20</v>
      </c>
      <c r="D1315" s="189">
        <v>41</v>
      </c>
      <c r="E1315" s="136">
        <f ca="1">OFFSET(INDEX(Composições!A:J,MATCH(Orçamentária!A1315,Composições!A:A,0),8),2,0)</f>
        <v>180.23708999999999</v>
      </c>
      <c r="F1315" s="137">
        <f t="shared" ca="1" si="69"/>
        <v>7389.7206900000001</v>
      </c>
      <c r="G1315" s="138">
        <f>BDI!$E$17</f>
        <v>0.11260000000000001</v>
      </c>
      <c r="H1315" s="139">
        <f t="shared" ca="1" si="70"/>
        <v>200.53</v>
      </c>
      <c r="I1315" s="137">
        <f t="shared" ca="1" si="71"/>
        <v>8221.73</v>
      </c>
      <c r="K1315" s="182"/>
    </row>
    <row r="1316" spans="1:11" x14ac:dyDescent="0.25">
      <c r="A1316" s="187" t="s">
        <v>3706</v>
      </c>
      <c r="B1316" s="188" t="s">
        <v>3707</v>
      </c>
      <c r="C1316" s="189" t="s">
        <v>20</v>
      </c>
      <c r="D1316" s="189">
        <v>2</v>
      </c>
      <c r="E1316" s="136">
        <f ca="1">OFFSET(INDEX(Composições!A:J,MATCH(Orçamentária!A1316,Composições!A:A,0),8),2,0)</f>
        <v>157.63449885000003</v>
      </c>
      <c r="F1316" s="137">
        <f t="shared" ca="1" si="69"/>
        <v>315.26899770000006</v>
      </c>
      <c r="G1316" s="138">
        <f>BDI!$B$17</f>
        <v>0.191</v>
      </c>
      <c r="H1316" s="139">
        <f t="shared" ca="1" si="70"/>
        <v>187.74</v>
      </c>
      <c r="I1316" s="137">
        <f t="shared" ca="1" si="71"/>
        <v>375.48</v>
      </c>
      <c r="K1316" s="182"/>
    </row>
    <row r="1317" spans="1:11" x14ac:dyDescent="0.25">
      <c r="A1317" s="187" t="s">
        <v>3708</v>
      </c>
      <c r="B1317" s="188" t="s">
        <v>3709</v>
      </c>
      <c r="C1317" s="189" t="s">
        <v>20</v>
      </c>
      <c r="D1317" s="189">
        <v>2</v>
      </c>
      <c r="E1317" s="136">
        <f ca="1">OFFSET(INDEX(Composições!A:J,MATCH(Orçamentária!A1317,Composições!A:A,0),8),2,0)</f>
        <v>215.44449885</v>
      </c>
      <c r="F1317" s="137">
        <f t="shared" ca="1" si="69"/>
        <v>430.8889977</v>
      </c>
      <c r="G1317" s="138">
        <f>BDI!$B$17</f>
        <v>0.191</v>
      </c>
      <c r="H1317" s="139">
        <f t="shared" ca="1" si="70"/>
        <v>256.58999999999997</v>
      </c>
      <c r="I1317" s="137">
        <f t="shared" ca="1" si="71"/>
        <v>513.17999999999995</v>
      </c>
      <c r="K1317" s="182"/>
    </row>
    <row r="1318" spans="1:11" x14ac:dyDescent="0.25">
      <c r="A1318" s="187" t="s">
        <v>3710</v>
      </c>
      <c r="B1318" s="188" t="s">
        <v>3711</v>
      </c>
      <c r="C1318" s="189" t="s">
        <v>20</v>
      </c>
      <c r="D1318" s="189">
        <v>8</v>
      </c>
      <c r="E1318" s="136">
        <f ca="1">OFFSET(INDEX(Composições!A:J,MATCH(Orçamentária!A1318,Composições!A:A,0),8),2,0)</f>
        <v>222.83449884999999</v>
      </c>
      <c r="F1318" s="137">
        <f t="shared" ca="1" si="69"/>
        <v>1782.6759907999999</v>
      </c>
      <c r="G1318" s="138">
        <f>BDI!$B$17</f>
        <v>0.191</v>
      </c>
      <c r="H1318" s="139">
        <f t="shared" ca="1" si="70"/>
        <v>265.39999999999998</v>
      </c>
      <c r="I1318" s="137">
        <f t="shared" ca="1" si="71"/>
        <v>2123.1999999999998</v>
      </c>
      <c r="K1318" s="182"/>
    </row>
    <row r="1319" spans="1:11" x14ac:dyDescent="0.25">
      <c r="A1319" s="187" t="s">
        <v>3712</v>
      </c>
      <c r="B1319" s="188" t="s">
        <v>3713</v>
      </c>
      <c r="C1319" s="189" t="s">
        <v>20</v>
      </c>
      <c r="D1319" s="189">
        <v>2</v>
      </c>
      <c r="E1319" s="136">
        <f ca="1">OFFSET(INDEX(Composições!A:J,MATCH(Orçamentária!A1319,Composições!A:A,0),8),2,0)</f>
        <v>556.83442175000016</v>
      </c>
      <c r="F1319" s="137">
        <f t="shared" ca="1" si="69"/>
        <v>1113.6688435000003</v>
      </c>
      <c r="G1319" s="138">
        <f>BDI!$B$17</f>
        <v>0.191</v>
      </c>
      <c r="H1319" s="139">
        <f t="shared" ca="1" si="70"/>
        <v>663.19</v>
      </c>
      <c r="I1319" s="137">
        <f t="shared" ca="1" si="71"/>
        <v>1326.38</v>
      </c>
      <c r="K1319" s="182"/>
    </row>
    <row r="1320" spans="1:11" x14ac:dyDescent="0.25">
      <c r="A1320" s="187" t="s">
        <v>3714</v>
      </c>
      <c r="B1320" s="188" t="s">
        <v>3715</v>
      </c>
      <c r="C1320" s="189" t="s">
        <v>20</v>
      </c>
      <c r="D1320" s="189">
        <v>1</v>
      </c>
      <c r="E1320" s="136">
        <f ca="1">OFFSET(INDEX(Composições!A:J,MATCH(Orçamentária!A1320,Composições!A:A,0),8),2,0)</f>
        <v>1271.1170960000002</v>
      </c>
      <c r="F1320" s="137">
        <f t="shared" ca="1" si="69"/>
        <v>1271.1170960000002</v>
      </c>
      <c r="G1320" s="138">
        <f>BDI!$B$17</f>
        <v>0.191</v>
      </c>
      <c r="H1320" s="139">
        <f t="shared" ca="1" si="70"/>
        <v>1513.9</v>
      </c>
      <c r="I1320" s="137">
        <f t="shared" ca="1" si="71"/>
        <v>1513.9</v>
      </c>
      <c r="K1320" s="182"/>
    </row>
    <row r="1321" spans="1:11" x14ac:dyDescent="0.25">
      <c r="A1321" s="187" t="s">
        <v>3716</v>
      </c>
      <c r="B1321" s="188" t="s">
        <v>3717</v>
      </c>
      <c r="C1321" s="189" t="s">
        <v>20</v>
      </c>
      <c r="D1321" s="189">
        <v>8</v>
      </c>
      <c r="E1321" s="136">
        <f ca="1">OFFSET(INDEX(Composições!A:J,MATCH(Orçamentária!A1321,Composições!A:A,0),8),2,0)</f>
        <v>445.31449885000001</v>
      </c>
      <c r="F1321" s="137">
        <f t="shared" ca="1" si="69"/>
        <v>3562.5159908000001</v>
      </c>
      <c r="G1321" s="138">
        <f>BDI!$E$17</f>
        <v>0.11260000000000001</v>
      </c>
      <c r="H1321" s="139">
        <f t="shared" ca="1" si="70"/>
        <v>495.46</v>
      </c>
      <c r="I1321" s="137">
        <f t="shared" ca="1" si="71"/>
        <v>3963.68</v>
      </c>
      <c r="K1321" s="182"/>
    </row>
    <row r="1322" spans="1:11" x14ac:dyDescent="0.25">
      <c r="A1322" s="187" t="s">
        <v>3718</v>
      </c>
      <c r="B1322" s="188" t="s">
        <v>3719</v>
      </c>
      <c r="C1322" s="189" t="s">
        <v>94</v>
      </c>
      <c r="D1322" s="189">
        <v>204</v>
      </c>
      <c r="E1322" s="136">
        <f ca="1">OFFSET(INDEX(Composições!A:J,MATCH(Orçamentária!A1322,Composições!A:A,0),8),2,0)</f>
        <v>61.797837999999992</v>
      </c>
      <c r="F1322" s="137">
        <f t="shared" ca="1" si="69"/>
        <v>12606.758951999998</v>
      </c>
      <c r="G1322" s="138">
        <f>BDI!$E$17</f>
        <v>0.11260000000000001</v>
      </c>
      <c r="H1322" s="139">
        <f t="shared" ca="1" si="70"/>
        <v>68.760000000000005</v>
      </c>
      <c r="I1322" s="137">
        <f t="shared" ca="1" si="71"/>
        <v>14027.04</v>
      </c>
      <c r="K1322" s="182"/>
    </row>
    <row r="1323" spans="1:11" x14ac:dyDescent="0.25">
      <c r="A1323" s="187" t="s">
        <v>3720</v>
      </c>
      <c r="B1323" s="188" t="s">
        <v>3721</v>
      </c>
      <c r="C1323" s="189" t="s">
        <v>20</v>
      </c>
      <c r="D1323" s="189">
        <v>2</v>
      </c>
      <c r="E1323" s="136">
        <f ca="1">OFFSET(INDEX(Composições!A:J,MATCH(Orçamentária!A1323,Composições!A:A,0),8),2,0)</f>
        <v>22.370158500000002</v>
      </c>
      <c r="F1323" s="137">
        <f t="shared" ca="1" si="69"/>
        <v>44.740317000000005</v>
      </c>
      <c r="G1323" s="138">
        <f>BDI!$B$17</f>
        <v>0.191</v>
      </c>
      <c r="H1323" s="139">
        <f t="shared" ca="1" si="70"/>
        <v>26.64</v>
      </c>
      <c r="I1323" s="137">
        <f t="shared" ca="1" si="71"/>
        <v>53.28</v>
      </c>
      <c r="K1323" s="182"/>
    </row>
    <row r="1324" spans="1:11" ht="25.5" x14ac:dyDescent="0.25">
      <c r="A1324" s="187" t="s">
        <v>3722</v>
      </c>
      <c r="B1324" s="188" t="s">
        <v>3723</v>
      </c>
      <c r="C1324" s="189" t="s">
        <v>20</v>
      </c>
      <c r="D1324" s="189">
        <v>2</v>
      </c>
      <c r="E1324" s="136">
        <f ca="1">OFFSET(INDEX(Composições!A:J,MATCH(Orçamentária!A1324,Composições!A:A,0),8),2,0)</f>
        <v>328.55575834999996</v>
      </c>
      <c r="F1324" s="137">
        <f t="shared" ca="1" si="69"/>
        <v>657.11151669999992</v>
      </c>
      <c r="G1324" s="138">
        <f>BDI!$B$17</f>
        <v>0.191</v>
      </c>
      <c r="H1324" s="139">
        <f t="shared" ca="1" si="70"/>
        <v>391.31</v>
      </c>
      <c r="I1324" s="137">
        <f t="shared" ca="1" si="71"/>
        <v>782.62</v>
      </c>
      <c r="K1324" s="182"/>
    </row>
    <row r="1325" spans="1:11" x14ac:dyDescent="0.25">
      <c r="A1325" s="187" t="s">
        <v>3724</v>
      </c>
      <c r="B1325" s="188" t="s">
        <v>3725</v>
      </c>
      <c r="C1325" s="189" t="s">
        <v>20</v>
      </c>
      <c r="D1325" s="116">
        <v>1</v>
      </c>
      <c r="E1325" s="136">
        <v>1776</v>
      </c>
      <c r="F1325" s="137">
        <f t="shared" si="69"/>
        <v>1776</v>
      </c>
      <c r="G1325" s="138">
        <f>BDI!$E$17</f>
        <v>0.11260000000000001</v>
      </c>
      <c r="H1325" s="139">
        <f t="shared" si="70"/>
        <v>1975.98</v>
      </c>
      <c r="I1325" s="137">
        <f t="shared" si="71"/>
        <v>1975.98</v>
      </c>
      <c r="K1325" s="182"/>
    </row>
    <row r="1326" spans="1:11" x14ac:dyDescent="0.25">
      <c r="A1326" s="187" t="s">
        <v>3726</v>
      </c>
      <c r="B1326" s="188" t="s">
        <v>3727</v>
      </c>
      <c r="C1326" s="189" t="s">
        <v>20</v>
      </c>
      <c r="D1326" s="116">
        <v>1</v>
      </c>
      <c r="E1326" s="136">
        <v>2172.3000000000002</v>
      </c>
      <c r="F1326" s="137">
        <f t="shared" si="69"/>
        <v>2172.3000000000002</v>
      </c>
      <c r="G1326" s="138">
        <f>BDI!$E$17</f>
        <v>0.11260000000000001</v>
      </c>
      <c r="H1326" s="139">
        <f t="shared" si="70"/>
        <v>2416.9</v>
      </c>
      <c r="I1326" s="137">
        <f t="shared" si="71"/>
        <v>2416.9</v>
      </c>
      <c r="K1326" s="182"/>
    </row>
    <row r="1327" spans="1:11" x14ac:dyDescent="0.25">
      <c r="A1327" s="187" t="s">
        <v>3728</v>
      </c>
      <c r="B1327" s="188" t="s">
        <v>3729</v>
      </c>
      <c r="C1327" s="189" t="s">
        <v>20</v>
      </c>
      <c r="D1327" s="116">
        <v>3</v>
      </c>
      <c r="E1327" s="136">
        <v>1380</v>
      </c>
      <c r="F1327" s="137">
        <f t="shared" si="69"/>
        <v>4140</v>
      </c>
      <c r="G1327" s="138">
        <f>BDI!$E$17</f>
        <v>0.11260000000000001</v>
      </c>
      <c r="H1327" s="139">
        <f t="shared" si="70"/>
        <v>1535.39</v>
      </c>
      <c r="I1327" s="137">
        <f t="shared" si="71"/>
        <v>4606.17</v>
      </c>
      <c r="K1327" s="182"/>
    </row>
    <row r="1328" spans="1:11" x14ac:dyDescent="0.25">
      <c r="A1328" s="187" t="s">
        <v>3730</v>
      </c>
      <c r="B1328" s="188" t="s">
        <v>3731</v>
      </c>
      <c r="C1328" s="189" t="s">
        <v>20</v>
      </c>
      <c r="D1328" s="116">
        <v>3</v>
      </c>
      <c r="E1328" s="136">
        <v>575</v>
      </c>
      <c r="F1328" s="137">
        <f t="shared" si="69"/>
        <v>1725</v>
      </c>
      <c r="G1328" s="138">
        <f>BDI!$E$17</f>
        <v>0.11260000000000001</v>
      </c>
      <c r="H1328" s="139">
        <f t="shared" si="70"/>
        <v>639.75</v>
      </c>
      <c r="I1328" s="137">
        <f t="shared" si="71"/>
        <v>1919.25</v>
      </c>
      <c r="K1328" s="182"/>
    </row>
    <row r="1329" spans="1:12" x14ac:dyDescent="0.25">
      <c r="A1329" s="187" t="s">
        <v>3732</v>
      </c>
      <c r="B1329" s="188" t="s">
        <v>3733</v>
      </c>
      <c r="C1329" s="189" t="s">
        <v>20</v>
      </c>
      <c r="D1329" s="116">
        <v>13</v>
      </c>
      <c r="E1329" s="136">
        <v>1485.9</v>
      </c>
      <c r="F1329" s="137">
        <f t="shared" si="69"/>
        <v>19316.7</v>
      </c>
      <c r="G1329" s="138">
        <f>BDI!$E$17</f>
        <v>0.11260000000000001</v>
      </c>
      <c r="H1329" s="139">
        <f t="shared" si="70"/>
        <v>1653.21</v>
      </c>
      <c r="I1329" s="137">
        <f t="shared" si="71"/>
        <v>21491.73</v>
      </c>
      <c r="K1329" s="182"/>
    </row>
    <row r="1330" spans="1:12" x14ac:dyDescent="0.25">
      <c r="A1330" s="187" t="s">
        <v>3734</v>
      </c>
      <c r="B1330" s="188" t="s">
        <v>3735</v>
      </c>
      <c r="C1330" s="189" t="s">
        <v>20</v>
      </c>
      <c r="D1330" s="189">
        <v>2</v>
      </c>
      <c r="E1330" s="136">
        <f ca="1">OFFSET(INDEX(Composições!A:J,MATCH(Orçamentária!A1330,Composições!A:A,0),8),2,0)</f>
        <v>674.01417104999996</v>
      </c>
      <c r="F1330" s="137">
        <f t="shared" ca="1" si="69"/>
        <v>1348.0283420999999</v>
      </c>
      <c r="G1330" s="138">
        <f>BDI!$B$17</f>
        <v>0.191</v>
      </c>
      <c r="H1330" s="139">
        <f t="shared" ca="1" si="70"/>
        <v>802.75</v>
      </c>
      <c r="I1330" s="137">
        <f t="shared" ca="1" si="71"/>
        <v>1605.5</v>
      </c>
      <c r="K1330" s="182"/>
    </row>
    <row r="1331" spans="1:12" x14ac:dyDescent="0.25">
      <c r="A1331" s="187" t="s">
        <v>3736</v>
      </c>
      <c r="B1331" s="188" t="s">
        <v>3737</v>
      </c>
      <c r="C1331" s="189" t="s">
        <v>94</v>
      </c>
      <c r="D1331" s="189">
        <v>204</v>
      </c>
      <c r="E1331" s="136">
        <f ca="1">OFFSET(INDEX(Composições!A:J,MATCH(Orçamentária!A1331,Composições!A:A,0),8),2,0)</f>
        <v>424.61541846054399</v>
      </c>
      <c r="F1331" s="137">
        <f t="shared" ca="1" si="69"/>
        <v>86621.54536595098</v>
      </c>
      <c r="G1331" s="138">
        <f>BDI!$E$17</f>
        <v>0.11260000000000001</v>
      </c>
      <c r="H1331" s="139">
        <f t="shared" ca="1" si="70"/>
        <v>472.43</v>
      </c>
      <c r="I1331" s="137">
        <f t="shared" ca="1" si="71"/>
        <v>96375.72</v>
      </c>
      <c r="K1331" s="182"/>
      <c r="L1331" s="181"/>
    </row>
    <row r="1332" spans="1:12" x14ac:dyDescent="0.25">
      <c r="A1332" s="187" t="s">
        <v>3738</v>
      </c>
      <c r="B1332" s="188" t="s">
        <v>3739</v>
      </c>
      <c r="C1332" s="189" t="s">
        <v>94</v>
      </c>
      <c r="D1332" s="189">
        <v>6</v>
      </c>
      <c r="E1332" s="136">
        <f ca="1">OFFSET(INDEX(Composições!A:J,MATCH(Orçamentária!A1332,Composições!A:A,0),8),2,0)</f>
        <v>715.53160536466237</v>
      </c>
      <c r="F1332" s="137">
        <f t="shared" ca="1" si="69"/>
        <v>4293.189632187974</v>
      </c>
      <c r="G1332" s="138">
        <f>BDI!$E$17</f>
        <v>0.11260000000000001</v>
      </c>
      <c r="H1332" s="139">
        <f t="shared" ca="1" si="70"/>
        <v>796.1</v>
      </c>
      <c r="I1332" s="137">
        <f t="shared" ca="1" si="71"/>
        <v>4776.6000000000004</v>
      </c>
      <c r="K1332" s="182"/>
    </row>
    <row r="1333" spans="1:12" x14ac:dyDescent="0.25">
      <c r="A1333" s="187" t="s">
        <v>3740</v>
      </c>
      <c r="B1333" s="188" t="s">
        <v>3741</v>
      </c>
      <c r="C1333" s="189" t="s">
        <v>20</v>
      </c>
      <c r="D1333" s="189">
        <v>2</v>
      </c>
      <c r="E1333" s="136">
        <f ca="1">OFFSET(INDEX(Composições!A:J,MATCH(Orçamentária!A1333,Composições!A:A,0),8),2,0)</f>
        <v>71.46359799999999</v>
      </c>
      <c r="F1333" s="137">
        <f t="shared" ca="1" si="69"/>
        <v>142.92719599999998</v>
      </c>
      <c r="G1333" s="138">
        <f>BDI!$B$17</f>
        <v>0.191</v>
      </c>
      <c r="H1333" s="139">
        <f t="shared" ca="1" si="70"/>
        <v>85.11</v>
      </c>
      <c r="I1333" s="137">
        <f t="shared" ca="1" si="71"/>
        <v>170.22</v>
      </c>
      <c r="K1333" s="182"/>
    </row>
    <row r="1334" spans="1:12" x14ac:dyDescent="0.25">
      <c r="A1334" s="187" t="s">
        <v>3742</v>
      </c>
      <c r="B1334" s="188" t="s">
        <v>3743</v>
      </c>
      <c r="C1334" s="189" t="s">
        <v>20</v>
      </c>
      <c r="D1334" s="189">
        <v>4</v>
      </c>
      <c r="E1334" s="136">
        <f ca="1">OFFSET(INDEX(Composições!A:J,MATCH(Orçamentária!A1334,Composições!A:A,0),8),2,0)</f>
        <v>3219.9591879999998</v>
      </c>
      <c r="F1334" s="137">
        <f t="shared" ca="1" si="69"/>
        <v>12879.836751999999</v>
      </c>
      <c r="G1334" s="138">
        <f>BDI!$E$17</f>
        <v>0.11260000000000001</v>
      </c>
      <c r="H1334" s="139">
        <f t="shared" ca="1" si="70"/>
        <v>3582.53</v>
      </c>
      <c r="I1334" s="137">
        <f t="shared" ca="1" si="71"/>
        <v>14330.12</v>
      </c>
      <c r="K1334" s="182"/>
    </row>
    <row r="1335" spans="1:12" hidden="1" x14ac:dyDescent="0.25">
      <c r="A1335" s="114" t="s">
        <v>3744</v>
      </c>
      <c r="B1335" s="115" t="s">
        <v>3745</v>
      </c>
      <c r="C1335" s="116" t="s">
        <v>20</v>
      </c>
      <c r="D1335" s="116">
        <v>0</v>
      </c>
      <c r="E1335" s="136" t="s">
        <v>572</v>
      </c>
      <c r="F1335" s="137" t="str">
        <f t="shared" si="69"/>
        <v/>
      </c>
      <c r="G1335" s="138" t="e">
        <f>IF(A1335&lt;&gt;"",IF(AND(#REF!="Padrão",$H$4=#REF!),BDI!$B$17,IF(AND(#REF!="Padrão",$H$4=#REF!),BDI!#REF!,IF(AND(#REF!="Diferenciado",$H$4=#REF!),BDI!$E$17,IF(AND(#REF!="Diferenciado",$H$4=#REF!),BDI!#REF!,IF(#REF!="ZERO",0))))),"")</f>
        <v>#REF!</v>
      </c>
      <c r="H1335" s="139" t="str">
        <f t="shared" si="70"/>
        <v/>
      </c>
      <c r="I1335" s="137" t="str">
        <f t="shared" si="71"/>
        <v/>
      </c>
    </row>
    <row r="1336" spans="1:12" hidden="1" x14ac:dyDescent="0.25">
      <c r="A1336" s="114" t="s">
        <v>3746</v>
      </c>
      <c r="B1336" s="115" t="s">
        <v>3747</v>
      </c>
      <c r="C1336" s="116" t="s">
        <v>94</v>
      </c>
      <c r="D1336" s="116">
        <v>0</v>
      </c>
      <c r="E1336" s="136">
        <f ca="1">OFFSET(INDEX(Composições!A:J,MATCH(Orçamentária!A1336,Composições!A:A,0),8),2,0)</f>
        <v>2.8179774000000002</v>
      </c>
      <c r="F1336" s="137">
        <f t="shared" ca="1" si="69"/>
        <v>0</v>
      </c>
      <c r="G1336" s="138" t="e">
        <f>IF(A1336&lt;&gt;"",IF(AND(#REF!="Padrão",$H$4=#REF!),BDI!$B$17,IF(AND(#REF!="Padrão",$H$4=#REF!),BDI!#REF!,IF(AND(#REF!="Diferenciado",$H$4=#REF!),BDI!$E$17,IF(AND(#REF!="Diferenciado",$H$4=#REF!),BDI!#REF!,IF(#REF!="ZERO",0))))),"")</f>
        <v>#REF!</v>
      </c>
      <c r="H1336" s="139" t="e">
        <f t="shared" ca="1" si="70"/>
        <v>#REF!</v>
      </c>
      <c r="I1336" s="137" t="e">
        <f t="shared" ca="1" si="71"/>
        <v>#REF!</v>
      </c>
    </row>
    <row r="1337" spans="1:12" hidden="1" x14ac:dyDescent="0.25">
      <c r="A1337" s="114" t="s">
        <v>3748</v>
      </c>
      <c r="B1337" s="115" t="s">
        <v>3749</v>
      </c>
      <c r="C1337" s="116" t="s">
        <v>94</v>
      </c>
      <c r="D1337" s="116">
        <v>0</v>
      </c>
      <c r="E1337" s="136">
        <f ca="1">OFFSET(INDEX(Composições!A:J,MATCH(Orçamentária!A1337,Composições!A:A,0),8),2,0)</f>
        <v>5.5011992000000003</v>
      </c>
      <c r="F1337" s="137">
        <f t="shared" ca="1" si="69"/>
        <v>0</v>
      </c>
      <c r="G1337" s="138" t="e">
        <f>IF(A1337&lt;&gt;"",IF(AND(#REF!="Padrão",$H$4=#REF!),BDI!$B$17,IF(AND(#REF!="Padrão",$H$4=#REF!),BDI!#REF!,IF(AND(#REF!="Diferenciado",$H$4=#REF!),BDI!$E$17,IF(AND(#REF!="Diferenciado",$H$4=#REF!),BDI!#REF!,IF(#REF!="ZERO",0))))),"")</f>
        <v>#REF!</v>
      </c>
      <c r="H1337" s="139" t="e">
        <f t="shared" ca="1" si="70"/>
        <v>#REF!</v>
      </c>
      <c r="I1337" s="137" t="e">
        <f t="shared" ca="1" si="71"/>
        <v>#REF!</v>
      </c>
    </row>
    <row r="1338" spans="1:12" hidden="1" x14ac:dyDescent="0.25">
      <c r="A1338" s="114" t="s">
        <v>3750</v>
      </c>
      <c r="B1338" s="115" t="s">
        <v>3751</v>
      </c>
      <c r="C1338" s="116" t="s">
        <v>20</v>
      </c>
      <c r="D1338" s="116">
        <v>0</v>
      </c>
      <c r="E1338" s="136">
        <f ca="1">OFFSET(INDEX(Composições!A:J,MATCH(Orçamentária!A1338,Composições!A:A,0),8),2,0)</f>
        <v>76.637506999999999</v>
      </c>
      <c r="F1338" s="137">
        <f t="shared" ca="1" si="69"/>
        <v>0</v>
      </c>
      <c r="G1338" s="138" t="e">
        <f>IF(A1338&lt;&gt;"",IF(AND(#REF!="Padrão",$H$4=#REF!),BDI!$B$17,IF(AND(#REF!="Padrão",$H$4=#REF!),BDI!#REF!,IF(AND(#REF!="Diferenciado",$H$4=#REF!),BDI!$E$17,IF(AND(#REF!="Diferenciado",$H$4=#REF!),BDI!#REF!,IF(#REF!="ZERO",0))))),"")</f>
        <v>#REF!</v>
      </c>
      <c r="H1338" s="139" t="e">
        <f t="shared" ca="1" si="70"/>
        <v>#REF!</v>
      </c>
      <c r="I1338" s="137" t="e">
        <f t="shared" ca="1" si="71"/>
        <v>#REF!</v>
      </c>
    </row>
    <row r="1339" spans="1:12" hidden="1" x14ac:dyDescent="0.25">
      <c r="A1339" s="114" t="s">
        <v>3752</v>
      </c>
      <c r="B1339" s="115" t="s">
        <v>3753</v>
      </c>
      <c r="C1339" s="116" t="s">
        <v>20</v>
      </c>
      <c r="D1339" s="116">
        <v>0</v>
      </c>
      <c r="E1339" s="136">
        <f ca="1">OFFSET(INDEX(Composições!A:J,MATCH(Orçamentária!A1339,Composições!A:A,0),8),2,0)</f>
        <v>1786.8423815648528</v>
      </c>
      <c r="F1339" s="137">
        <f t="shared" ca="1" si="69"/>
        <v>0</v>
      </c>
      <c r="G1339" s="138" t="e">
        <f>IF(A1339&lt;&gt;"",IF(AND(#REF!="Padrão",$H$4=#REF!),BDI!$B$17,IF(AND(#REF!="Padrão",$H$4=#REF!),BDI!#REF!,IF(AND(#REF!="Diferenciado",$H$4=#REF!),BDI!$E$17,IF(AND(#REF!="Diferenciado",$H$4=#REF!),BDI!#REF!,IF(#REF!="ZERO",0))))),"")</f>
        <v>#REF!</v>
      </c>
      <c r="H1339" s="139" t="e">
        <f t="shared" ca="1" si="70"/>
        <v>#REF!</v>
      </c>
      <c r="I1339" s="137" t="e">
        <f t="shared" ca="1" si="71"/>
        <v>#REF!</v>
      </c>
    </row>
    <row r="1340" spans="1:12" hidden="1" x14ac:dyDescent="0.25">
      <c r="A1340" s="114" t="s">
        <v>3754</v>
      </c>
      <c r="B1340" s="115" t="s">
        <v>3755</v>
      </c>
      <c r="C1340" s="116" t="s">
        <v>20</v>
      </c>
      <c r="D1340" s="116">
        <v>0</v>
      </c>
      <c r="E1340" s="136">
        <f ca="1">OFFSET(INDEX(Composições!A:J,MATCH(Orçamentária!A1340,Composições!A:A,0),8),2,0)</f>
        <v>5005.17</v>
      </c>
      <c r="F1340" s="137">
        <f t="shared" ca="1" si="69"/>
        <v>0</v>
      </c>
      <c r="G1340" s="138" t="e">
        <f>IF(A1340&lt;&gt;"",IF(AND(#REF!="Padrão",$H$4=#REF!),BDI!$B$17,IF(AND(#REF!="Padrão",$H$4=#REF!),BDI!#REF!,IF(AND(#REF!="Diferenciado",$H$4=#REF!),BDI!$E$17,IF(AND(#REF!="Diferenciado",$H$4=#REF!),BDI!#REF!,IF(#REF!="ZERO",0))))),"")</f>
        <v>#REF!</v>
      </c>
      <c r="H1340" s="139" t="e">
        <f t="shared" ca="1" si="70"/>
        <v>#REF!</v>
      </c>
      <c r="I1340" s="137" t="e">
        <f t="shared" ca="1" si="71"/>
        <v>#REF!</v>
      </c>
    </row>
    <row r="1341" spans="1:12" hidden="1" x14ac:dyDescent="0.25">
      <c r="A1341" s="114" t="s">
        <v>3756</v>
      </c>
      <c r="B1341" s="115" t="s">
        <v>3757</v>
      </c>
      <c r="C1341" s="116" t="s">
        <v>94</v>
      </c>
      <c r="D1341" s="116">
        <v>0</v>
      </c>
      <c r="E1341" s="136">
        <f ca="1">OFFSET(INDEX(Composições!A:J,MATCH(Orçamentária!A1341,Composições!A:A,0),8),2,0)</f>
        <v>10.327070000000001</v>
      </c>
      <c r="F1341" s="137">
        <f t="shared" ca="1" si="69"/>
        <v>0</v>
      </c>
      <c r="G1341" s="138" t="e">
        <f>IF(A1341&lt;&gt;"",IF(AND(#REF!="Padrão",$H$4=#REF!),BDI!$B$17,IF(AND(#REF!="Padrão",$H$4=#REF!),BDI!#REF!,IF(AND(#REF!="Diferenciado",$H$4=#REF!),BDI!$E$17,IF(AND(#REF!="Diferenciado",$H$4=#REF!),BDI!#REF!,IF(#REF!="ZERO",0))))),"")</f>
        <v>#REF!</v>
      </c>
      <c r="H1341" s="139" t="e">
        <f t="shared" ca="1" si="70"/>
        <v>#REF!</v>
      </c>
      <c r="I1341" s="137" t="e">
        <f t="shared" ca="1" si="71"/>
        <v>#REF!</v>
      </c>
    </row>
    <row r="1342" spans="1:12" hidden="1" x14ac:dyDescent="0.25">
      <c r="A1342" s="114" t="s">
        <v>3758</v>
      </c>
      <c r="B1342" s="115" t="s">
        <v>3759</v>
      </c>
      <c r="C1342" s="116" t="s">
        <v>94</v>
      </c>
      <c r="D1342" s="116">
        <v>0</v>
      </c>
      <c r="E1342" s="136" t="s">
        <v>572</v>
      </c>
      <c r="F1342" s="137" t="str">
        <f t="shared" si="69"/>
        <v/>
      </c>
      <c r="G1342" s="138" t="e">
        <f>IF(A1342&lt;&gt;"",IF(AND(#REF!="Padrão",$H$4=#REF!),BDI!$B$17,IF(AND(#REF!="Padrão",$H$4=#REF!),BDI!#REF!,IF(AND(#REF!="Diferenciado",$H$4=#REF!),BDI!$E$17,IF(AND(#REF!="Diferenciado",$H$4=#REF!),BDI!#REF!,IF(#REF!="ZERO",0))))),"")</f>
        <v>#REF!</v>
      </c>
      <c r="H1342" s="139" t="str">
        <f t="shared" si="70"/>
        <v/>
      </c>
      <c r="I1342" s="137" t="str">
        <f t="shared" si="71"/>
        <v/>
      </c>
    </row>
    <row r="1343" spans="1:12" hidden="1" x14ac:dyDescent="0.25">
      <c r="A1343" s="114" t="s">
        <v>3760</v>
      </c>
      <c r="B1343" s="115" t="s">
        <v>3761</v>
      </c>
      <c r="C1343" s="116" t="s">
        <v>94</v>
      </c>
      <c r="D1343" s="116">
        <v>0</v>
      </c>
      <c r="E1343" s="136" t="s">
        <v>572</v>
      </c>
      <c r="F1343" s="137" t="str">
        <f t="shared" si="69"/>
        <v/>
      </c>
      <c r="G1343" s="138" t="e">
        <f>IF(A1343&lt;&gt;"",IF(AND(#REF!="Padrão",$H$4=#REF!),BDI!$B$17,IF(AND(#REF!="Padrão",$H$4=#REF!),BDI!#REF!,IF(AND(#REF!="Diferenciado",$H$4=#REF!),BDI!$E$17,IF(AND(#REF!="Diferenciado",$H$4=#REF!),BDI!#REF!,IF(#REF!="ZERO",0))))),"")</f>
        <v>#REF!</v>
      </c>
      <c r="H1343" s="139" t="str">
        <f t="shared" si="70"/>
        <v/>
      </c>
      <c r="I1343" s="137" t="str">
        <f t="shared" si="71"/>
        <v/>
      </c>
    </row>
    <row r="1344" spans="1:12" hidden="1" x14ac:dyDescent="0.25">
      <c r="A1344" s="114" t="s">
        <v>3762</v>
      </c>
      <c r="B1344" s="115" t="s">
        <v>3763</v>
      </c>
      <c r="C1344" s="116" t="s">
        <v>20</v>
      </c>
      <c r="D1344" s="116">
        <v>0</v>
      </c>
      <c r="E1344" s="136">
        <f ca="1">OFFSET(INDEX(Composições!A:J,MATCH(Orçamentária!A1344,Composições!A:A,0),8),2,0)</f>
        <v>828.23455871461294</v>
      </c>
      <c r="F1344" s="137">
        <f t="shared" ref="F1344" ca="1" si="72">IF(ISNUMBER(E1344),D1344*E1344,"")</f>
        <v>0</v>
      </c>
      <c r="G1344" s="138" t="e">
        <f>IF(A1344&lt;&gt;"",IF(AND(#REF!="Padrão",$H$4=#REF!),BDI!$B$17,IF(AND(#REF!="Padrão",$H$4=#REF!),BDI!#REF!,IF(AND(#REF!="Diferenciado",$H$4=#REF!),BDI!$E$17,IF(AND(#REF!="Diferenciado",$H$4=#REF!),BDI!#REF!,IF(#REF!="ZERO",0))))),"")</f>
        <v>#REF!</v>
      </c>
      <c r="H1344" s="139" t="e">
        <f t="shared" ref="H1344" ca="1" si="73">IF(ISNUMBER(E1344),ROUND(E1344*(1+G1344),2),"")</f>
        <v>#REF!</v>
      </c>
      <c r="I1344" s="137" t="e">
        <f t="shared" ref="I1344" ca="1" si="74">IF(ISNUMBER(E1344),ROUND(H1344*D1344,2),"")</f>
        <v>#REF!</v>
      </c>
    </row>
    <row r="1345" spans="1:9" hidden="1" x14ac:dyDescent="0.25">
      <c r="A1345" s="114" t="s">
        <v>3794</v>
      </c>
      <c r="B1345" s="115" t="s">
        <v>3795</v>
      </c>
      <c r="C1345" s="116" t="s">
        <v>20</v>
      </c>
      <c r="D1345" s="116">
        <v>0</v>
      </c>
      <c r="E1345" s="136" t="s">
        <v>572</v>
      </c>
      <c r="F1345" s="137" t="str">
        <f t="shared" ref="F1345:F1349" si="75">IF(ISNUMBER(E1345),D1345*E1345,"")</f>
        <v/>
      </c>
      <c r="G1345" s="138" t="e">
        <f>IF(A1345&lt;&gt;"",IF(AND(#REF!="Padrão",$H$4=#REF!),BDI!$B$17,IF(AND(#REF!="Padrão",$H$4=#REF!),BDI!#REF!,IF(AND(#REF!="Diferenciado",$H$4=#REF!),BDI!$E$17,IF(AND(#REF!="Diferenciado",$H$4=#REF!),BDI!#REF!,IF(#REF!="ZERO",0))))),"")</f>
        <v>#REF!</v>
      </c>
      <c r="H1345" s="139" t="str">
        <f t="shared" ref="H1345:H1349" si="76">IF(ISNUMBER(E1345),ROUND(E1345*(1+G1345),2),"")</f>
        <v/>
      </c>
      <c r="I1345" s="137" t="str">
        <f t="shared" ref="I1345:I1349" si="77">IF(ISNUMBER(E1345),ROUND(H1345*D1345,2),"")</f>
        <v/>
      </c>
    </row>
    <row r="1346" spans="1:9" hidden="1" x14ac:dyDescent="0.25">
      <c r="A1346" s="114" t="s">
        <v>3796</v>
      </c>
      <c r="B1346" s="115" t="s">
        <v>3797</v>
      </c>
      <c r="C1346" s="116" t="s">
        <v>20</v>
      </c>
      <c r="D1346" s="116">
        <v>0</v>
      </c>
      <c r="E1346" s="136" t="s">
        <v>572</v>
      </c>
      <c r="F1346" s="137" t="str">
        <f t="shared" si="75"/>
        <v/>
      </c>
      <c r="G1346" s="138" t="e">
        <f>IF(A1346&lt;&gt;"",IF(AND(#REF!="Padrão",$H$4=#REF!),BDI!$B$17,IF(AND(#REF!="Padrão",$H$4=#REF!),BDI!#REF!,IF(AND(#REF!="Diferenciado",$H$4=#REF!),BDI!$E$17,IF(AND(#REF!="Diferenciado",$H$4=#REF!),BDI!#REF!,IF(#REF!="ZERO",0))))),"")</f>
        <v>#REF!</v>
      </c>
      <c r="H1346" s="139" t="str">
        <f t="shared" si="76"/>
        <v/>
      </c>
      <c r="I1346" s="137" t="str">
        <f t="shared" si="77"/>
        <v/>
      </c>
    </row>
    <row r="1347" spans="1:9" hidden="1" x14ac:dyDescent="0.25">
      <c r="A1347" s="114" t="s">
        <v>3798</v>
      </c>
      <c r="B1347" s="115" t="s">
        <v>3799</v>
      </c>
      <c r="C1347" s="116" t="s">
        <v>94</v>
      </c>
      <c r="D1347" s="116">
        <v>0</v>
      </c>
      <c r="E1347" s="136">
        <f ca="1">OFFSET(INDEX(Composições!A:J,MATCH(Orçamentária!A1347,Composições!A:A,0),8),2,0)</f>
        <v>23.417602600000002</v>
      </c>
      <c r="F1347" s="137">
        <f t="shared" ca="1" si="75"/>
        <v>0</v>
      </c>
      <c r="G1347" s="138" t="e">
        <f>IF(A1347&lt;&gt;"",IF(AND(#REF!="Padrão",$H$4=#REF!),BDI!$B$17,IF(AND(#REF!="Padrão",$H$4=#REF!),BDI!#REF!,IF(AND(#REF!="Diferenciado",$H$4=#REF!),BDI!$E$17,IF(AND(#REF!="Diferenciado",$H$4=#REF!),BDI!#REF!,IF(#REF!="ZERO",0))))),"")</f>
        <v>#REF!</v>
      </c>
      <c r="H1347" s="139" t="e">
        <f t="shared" ca="1" si="76"/>
        <v>#REF!</v>
      </c>
      <c r="I1347" s="137" t="e">
        <f t="shared" ca="1" si="77"/>
        <v>#REF!</v>
      </c>
    </row>
    <row r="1348" spans="1:9" hidden="1" x14ac:dyDescent="0.25">
      <c r="A1348" s="114" t="s">
        <v>3800</v>
      </c>
      <c r="B1348" s="115" t="s">
        <v>3801</v>
      </c>
      <c r="C1348" s="116" t="s">
        <v>94</v>
      </c>
      <c r="D1348" s="116">
        <v>0</v>
      </c>
      <c r="E1348" s="136">
        <f ca="1">OFFSET(INDEX(Composições!A:J,MATCH(Orçamentária!A1348,Composições!A:A,0),8),2,0)</f>
        <v>31.056546900000004</v>
      </c>
      <c r="F1348" s="137">
        <f t="shared" ca="1" si="75"/>
        <v>0</v>
      </c>
      <c r="G1348" s="138" t="e">
        <f>IF(A1348&lt;&gt;"",IF(AND(#REF!="Padrão",$H$4=#REF!),BDI!$B$17,IF(AND(#REF!="Padrão",$H$4=#REF!),BDI!#REF!,IF(AND(#REF!="Diferenciado",$H$4=#REF!),BDI!$E$17,IF(AND(#REF!="Diferenciado",$H$4=#REF!),BDI!#REF!,IF(#REF!="ZERO",0))))),"")</f>
        <v>#REF!</v>
      </c>
      <c r="H1348" s="139" t="e">
        <f t="shared" ca="1" si="76"/>
        <v>#REF!</v>
      </c>
      <c r="I1348" s="137" t="e">
        <f t="shared" ca="1" si="77"/>
        <v>#REF!</v>
      </c>
    </row>
    <row r="1349" spans="1:9" hidden="1" x14ac:dyDescent="0.25">
      <c r="A1349" s="114" t="s">
        <v>3802</v>
      </c>
      <c r="B1349" s="115" t="s">
        <v>3803</v>
      </c>
      <c r="C1349" s="116" t="s">
        <v>20</v>
      </c>
      <c r="D1349" s="116">
        <v>0</v>
      </c>
      <c r="E1349" s="136" t="s">
        <v>572</v>
      </c>
      <c r="F1349" s="137" t="str">
        <f t="shared" si="75"/>
        <v/>
      </c>
      <c r="G1349" s="138" t="e">
        <f>IF(A1349&lt;&gt;"",IF(AND(#REF!="Padrão",$H$4=#REF!),BDI!$B$17,IF(AND(#REF!="Padrão",$H$4=#REF!),BDI!#REF!,IF(AND(#REF!="Diferenciado",$H$4=#REF!),BDI!$E$17,IF(AND(#REF!="Diferenciado",$H$4=#REF!),BDI!#REF!,IF(#REF!="ZERO",0))))),"")</f>
        <v>#REF!</v>
      </c>
      <c r="H1349" s="139" t="str">
        <f t="shared" si="76"/>
        <v/>
      </c>
      <c r="I1349" s="137" t="str">
        <f t="shared" si="77"/>
        <v/>
      </c>
    </row>
    <row r="1350" spans="1:9" hidden="1" x14ac:dyDescent="0.25">
      <c r="A1350" s="114" t="s">
        <v>3804</v>
      </c>
      <c r="B1350" s="115" t="s">
        <v>3806</v>
      </c>
      <c r="C1350" s="116" t="s">
        <v>20</v>
      </c>
      <c r="D1350" s="116">
        <v>0</v>
      </c>
      <c r="E1350" s="136" t="s">
        <v>572</v>
      </c>
      <c r="F1350" s="137" t="str">
        <f t="shared" ref="F1350:F1352" si="78">IF(ISNUMBER(E1350),D1350*E1350,"")</f>
        <v/>
      </c>
      <c r="G1350" s="138" t="e">
        <f>IF(A1350&lt;&gt;"",IF(AND(#REF!="Padrão",$H$4=#REF!),BDI!$B$17,IF(AND(#REF!="Padrão",$H$4=#REF!),BDI!#REF!,IF(AND(#REF!="Diferenciado",$H$4=#REF!),BDI!$E$17,IF(AND(#REF!="Diferenciado",$H$4=#REF!),BDI!#REF!,IF(#REF!="ZERO",0))))),"")</f>
        <v>#REF!</v>
      </c>
      <c r="H1350" s="139" t="str">
        <f t="shared" ref="H1350:H1352" si="79">IF(ISNUMBER(E1350),ROUND(E1350*(1+G1350),2),"")</f>
        <v/>
      </c>
      <c r="I1350" s="137" t="str">
        <f t="shared" ref="I1350:I1352" si="80">IF(ISNUMBER(E1350),ROUND(H1350*D1350,2),"")</f>
        <v/>
      </c>
    </row>
    <row r="1351" spans="1:9" ht="25.5" hidden="1" x14ac:dyDescent="0.25">
      <c r="A1351" s="114" t="s">
        <v>3805</v>
      </c>
      <c r="B1351" s="115" t="s">
        <v>3807</v>
      </c>
      <c r="C1351" s="116" t="s">
        <v>20</v>
      </c>
      <c r="D1351" s="116">
        <v>0</v>
      </c>
      <c r="E1351" s="136" t="s">
        <v>572</v>
      </c>
      <c r="F1351" s="137" t="str">
        <f t="shared" si="78"/>
        <v/>
      </c>
      <c r="G1351" s="138" t="e">
        <f>IF(A1351&lt;&gt;"",IF(AND(#REF!="Padrão",$H$4=#REF!),BDI!$B$17,IF(AND(#REF!="Padrão",$H$4=#REF!),BDI!#REF!,IF(AND(#REF!="Diferenciado",$H$4=#REF!),BDI!$E$17,IF(AND(#REF!="Diferenciado",$H$4=#REF!),BDI!#REF!,IF(#REF!="ZERO",0))))),"")</f>
        <v>#REF!</v>
      </c>
      <c r="H1351" s="139" t="str">
        <f t="shared" si="79"/>
        <v/>
      </c>
      <c r="I1351" s="137" t="str">
        <f t="shared" si="80"/>
        <v/>
      </c>
    </row>
    <row r="1352" spans="1:9" hidden="1" x14ac:dyDescent="0.25">
      <c r="A1352" s="114" t="s">
        <v>3811</v>
      </c>
      <c r="B1352" s="115" t="s">
        <v>3812</v>
      </c>
      <c r="C1352" s="116" t="s">
        <v>20</v>
      </c>
      <c r="D1352" s="116">
        <v>0</v>
      </c>
      <c r="E1352" s="136" t="s">
        <v>572</v>
      </c>
      <c r="F1352" s="137" t="str">
        <f t="shared" si="78"/>
        <v/>
      </c>
      <c r="G1352" s="138" t="e">
        <f>IF(A1352&lt;&gt;"",IF(AND(#REF!="Padrão",$H$4=#REF!),BDI!$B$17,IF(AND(#REF!="Padrão",$H$4=#REF!),BDI!#REF!,IF(AND(#REF!="Diferenciado",$H$4=#REF!),BDI!$E$17,IF(AND(#REF!="Diferenciado",$H$4=#REF!),BDI!#REF!,IF(#REF!="ZERO",0))))),"")</f>
        <v>#REF!</v>
      </c>
      <c r="H1352" s="139" t="str">
        <f t="shared" si="79"/>
        <v/>
      </c>
      <c r="I1352" s="137" t="str">
        <f t="shared" si="80"/>
        <v/>
      </c>
    </row>
    <row r="1353" spans="1:9" hidden="1" x14ac:dyDescent="0.25">
      <c r="A1353" s="114" t="s">
        <v>3809</v>
      </c>
      <c r="B1353" s="115" t="s">
        <v>3810</v>
      </c>
      <c r="C1353" s="116" t="s">
        <v>3050</v>
      </c>
      <c r="D1353" s="116">
        <v>0</v>
      </c>
      <c r="E1353" s="136" t="s">
        <v>572</v>
      </c>
      <c r="F1353" s="137" t="str">
        <f t="shared" ref="F1353" si="81">IF(ISNUMBER(E1353),D1353*E1353,"")</f>
        <v/>
      </c>
      <c r="G1353" s="138" t="e">
        <f>IF(A1353&lt;&gt;"",IF(AND(#REF!="Padrão",$H$4=#REF!),BDI!$B$17,IF(AND(#REF!="Padrão",$H$4=#REF!),BDI!#REF!,IF(AND(#REF!="Diferenciado",$H$4=#REF!),BDI!$E$17,IF(AND(#REF!="Diferenciado",$H$4=#REF!),BDI!#REF!,IF(#REF!="ZERO",0))))),"")</f>
        <v>#REF!</v>
      </c>
      <c r="H1353" s="139" t="str">
        <f t="shared" ref="H1353" si="82">IF(ISNUMBER(E1353),ROUND(E1353*(1+G1353),2),"")</f>
        <v/>
      </c>
      <c r="I1353" s="137" t="str">
        <f t="shared" ref="I1353" si="83">IF(ISNUMBER(E1353),ROUND(H1353*D1353,2),"")</f>
        <v/>
      </c>
    </row>
    <row r="1354" spans="1:9" hidden="1" x14ac:dyDescent="0.25">
      <c r="A1354" s="114" t="s">
        <v>3824</v>
      </c>
      <c r="B1354" s="115" t="s">
        <v>3827</v>
      </c>
      <c r="C1354" s="116" t="s">
        <v>96</v>
      </c>
      <c r="D1354" s="116">
        <v>0</v>
      </c>
      <c r="E1354" s="136" t="s">
        <v>572</v>
      </c>
      <c r="F1354" s="137" t="str">
        <f t="shared" ref="F1354:F1356" si="84">IF(ISNUMBER(E1354),D1354*E1354,"")</f>
        <v/>
      </c>
      <c r="G1354" s="138" t="e">
        <f>IF(A1354&lt;&gt;"",IF(AND(#REF!="Padrão",$H$4=#REF!),BDI!$B$17,IF(AND(#REF!="Padrão",$H$4=#REF!),BDI!#REF!,IF(AND(#REF!="Diferenciado",$H$4=#REF!),BDI!$E$17,IF(AND(#REF!="Diferenciado",$H$4=#REF!),BDI!#REF!,IF(#REF!="ZERO",0))))),"")</f>
        <v>#REF!</v>
      </c>
      <c r="H1354" s="139" t="str">
        <f t="shared" ref="H1354:H1356" si="85">IF(ISNUMBER(E1354),ROUND(E1354*(1+G1354),2),"")</f>
        <v/>
      </c>
      <c r="I1354" s="137" t="str">
        <f t="shared" ref="I1354:I1356" si="86">IF(ISNUMBER(E1354),ROUND(H1354*D1354,2),"")</f>
        <v/>
      </c>
    </row>
    <row r="1355" spans="1:9" hidden="1" x14ac:dyDescent="0.25">
      <c r="A1355" s="114" t="s">
        <v>3825</v>
      </c>
      <c r="B1355" s="115" t="s">
        <v>3828</v>
      </c>
      <c r="C1355" s="116" t="s">
        <v>96</v>
      </c>
      <c r="D1355" s="116">
        <v>0</v>
      </c>
      <c r="E1355" s="136" t="s">
        <v>572</v>
      </c>
      <c r="F1355" s="137" t="str">
        <f t="shared" si="84"/>
        <v/>
      </c>
      <c r="G1355" s="138" t="e">
        <f>IF(A1355&lt;&gt;"",IF(AND(#REF!="Padrão",$H$4=#REF!),BDI!$B$17,IF(AND(#REF!="Padrão",$H$4=#REF!),BDI!#REF!,IF(AND(#REF!="Diferenciado",$H$4=#REF!),BDI!$E$17,IF(AND(#REF!="Diferenciado",$H$4=#REF!),BDI!#REF!,IF(#REF!="ZERO",0))))),"")</f>
        <v>#REF!</v>
      </c>
      <c r="H1355" s="139" t="str">
        <f t="shared" si="85"/>
        <v/>
      </c>
      <c r="I1355" s="137" t="str">
        <f t="shared" si="86"/>
        <v/>
      </c>
    </row>
    <row r="1356" spans="1:9" hidden="1" x14ac:dyDescent="0.25">
      <c r="A1356" s="114" t="s">
        <v>3826</v>
      </c>
      <c r="B1356" s="115" t="s">
        <v>3829</v>
      </c>
      <c r="C1356" s="116" t="s">
        <v>96</v>
      </c>
      <c r="D1356" s="116">
        <v>0</v>
      </c>
      <c r="E1356" s="136" t="s">
        <v>572</v>
      </c>
      <c r="F1356" s="137" t="str">
        <f t="shared" si="84"/>
        <v/>
      </c>
      <c r="G1356" s="138" t="e">
        <f>IF(A1356&lt;&gt;"",IF(AND(#REF!="Padrão",$H$4=#REF!),BDI!$B$17,IF(AND(#REF!="Padrão",$H$4=#REF!),BDI!#REF!,IF(AND(#REF!="Diferenciado",$H$4=#REF!),BDI!$E$17,IF(AND(#REF!="Diferenciado",$H$4=#REF!),BDI!#REF!,IF(#REF!="ZERO",0))))),"")</f>
        <v>#REF!</v>
      </c>
      <c r="H1356" s="139" t="str">
        <f t="shared" si="85"/>
        <v/>
      </c>
      <c r="I1356" s="137" t="str">
        <f t="shared" si="86"/>
        <v/>
      </c>
    </row>
    <row r="1357" spans="1:9" ht="3.75" customHeight="1" thickBot="1" x14ac:dyDescent="0.3">
      <c r="A1357" s="190"/>
      <c r="B1357" s="191"/>
      <c r="C1357" s="192"/>
      <c r="D1357" s="192"/>
      <c r="E1357" s="193"/>
      <c r="F1357" s="193"/>
      <c r="G1357" s="194"/>
      <c r="H1357" s="195"/>
      <c r="I1357" s="196"/>
    </row>
    <row r="1358" spans="1:9" ht="15.75" thickBot="1" x14ac:dyDescent="0.3">
      <c r="A1358" s="145">
        <f>SUBTOTAL(103,A6:A1357)</f>
        <v>33</v>
      </c>
      <c r="B1358" s="197"/>
      <c r="C1358" s="144"/>
      <c r="D1358" s="198"/>
      <c r="E1358" s="198"/>
      <c r="F1358" s="142"/>
      <c r="G1358" s="198"/>
      <c r="H1358" s="198" t="s">
        <v>1554</v>
      </c>
      <c r="I1358" s="140">
        <f ca="1">SUBTOTAL(109,F6:F1357)</f>
        <v>170308.98572535437</v>
      </c>
    </row>
    <row r="1359" spans="1:9" ht="15.75" thickBot="1" x14ac:dyDescent="0.3">
      <c r="A1359" s="199"/>
      <c r="B1359" s="200"/>
      <c r="C1359" s="144"/>
      <c r="D1359" s="201"/>
      <c r="E1359" s="201"/>
      <c r="F1359" s="143"/>
      <c r="G1359" s="202"/>
      <c r="H1359" s="202" t="s">
        <v>7</v>
      </c>
      <c r="I1359" s="141">
        <f ca="1">SUBTOTAL(109,I6:I1357)</f>
        <v>190112.21000000002</v>
      </c>
    </row>
    <row r="1360" spans="1:9" x14ac:dyDescent="0.25">
      <c r="A1360" s="3"/>
      <c r="B1360" s="118"/>
      <c r="C1360" s="3"/>
      <c r="D1360" s="119"/>
      <c r="E1360" s="120"/>
      <c r="F1360" s="121"/>
      <c r="G1360" s="120"/>
      <c r="H1360" s="120"/>
      <c r="I1360" s="121"/>
    </row>
    <row r="1361" spans="1:9" x14ac:dyDescent="0.25">
      <c r="A1361" s="3"/>
      <c r="B1361" s="118"/>
      <c r="C1361" s="3"/>
      <c r="D1361" s="122"/>
      <c r="E1361" s="123"/>
      <c r="F1361" s="123"/>
      <c r="G1361" s="123"/>
      <c r="H1361" s="123"/>
      <c r="I1361" s="123"/>
    </row>
  </sheetData>
  <sheetProtection algorithmName="SHA-512" hashValue="xgBJglB6F7gRwJMRz9ccuOqxRPAjJRqsA3qXCVMcLgCHHA4gtlSYzmvEck58ugIA0fIdVRqKklw+KTmR+annhg==" saltValue="Giz6YfsbsoqNuJLuN/aqgw==" spinCount="100000" sheet="1" objects="1" scenarios="1"/>
  <autoFilter ref="A5:I1357">
    <filterColumn colId="3">
      <filters blank="1">
        <filter val="0,02"/>
        <filter val="0,04"/>
        <filter val="0,28"/>
        <filter val="0,52"/>
        <filter val="0,53"/>
        <filter val="1,00"/>
        <filter val="1,82"/>
        <filter val="123,00"/>
        <filter val="13,00"/>
        <filter val="2,00"/>
        <filter val="201,40"/>
        <filter val="204,00"/>
        <filter val="3,00"/>
        <filter val="4,00"/>
        <filter val="41,00"/>
        <filter val="6,00"/>
        <filter val="8,00"/>
      </filters>
    </filterColumn>
  </autoFilter>
  <conditionalFormatting sqref="C6">
    <cfRule type="containsBlanks" dxfId="21" priority="36">
      <formula>LEN(TRIM(C6))=0</formula>
    </cfRule>
    <cfRule type="containsBlanks" priority="37">
      <formula>LEN(TRIM(C6))=0</formula>
    </cfRule>
  </conditionalFormatting>
  <conditionalFormatting sqref="C341:C354">
    <cfRule type="containsBlanks" dxfId="20" priority="34">
      <formula>LEN(TRIM(C341))=0</formula>
    </cfRule>
    <cfRule type="containsBlanks" priority="35">
      <formula>LEN(TRIM(C341))=0</formula>
    </cfRule>
  </conditionalFormatting>
  <conditionalFormatting sqref="C355:C356">
    <cfRule type="containsBlanks" dxfId="19" priority="32">
      <formula>LEN(TRIM(C355))=0</formula>
    </cfRule>
    <cfRule type="containsBlanks" priority="33">
      <formula>LEN(TRIM(C355))=0</formula>
    </cfRule>
  </conditionalFormatting>
  <conditionalFormatting sqref="C340">
    <cfRule type="containsBlanks" dxfId="18" priority="30">
      <formula>LEN(TRIM(C340))=0</formula>
    </cfRule>
    <cfRule type="containsBlanks" priority="31">
      <formula>LEN(TRIM(C340))=0</formula>
    </cfRule>
  </conditionalFormatting>
  <conditionalFormatting sqref="C942:C943">
    <cfRule type="containsBlanks" dxfId="17" priority="28">
      <formula>LEN(TRIM(C942))=0</formula>
    </cfRule>
    <cfRule type="containsBlanks" priority="29">
      <formula>LEN(TRIM(C942))=0</formula>
    </cfRule>
  </conditionalFormatting>
  <conditionalFormatting sqref="C59">
    <cfRule type="containsBlanks" dxfId="16" priority="26">
      <formula>LEN(TRIM(C59))=0</formula>
    </cfRule>
    <cfRule type="containsBlanks" priority="27">
      <formula>LEN(TRIM(C59))=0</formula>
    </cfRule>
  </conditionalFormatting>
  <conditionalFormatting sqref="C61">
    <cfRule type="containsBlanks" dxfId="15" priority="24">
      <formula>LEN(TRIM(C61))=0</formula>
    </cfRule>
    <cfRule type="containsBlanks" priority="25">
      <formula>LEN(TRIM(C61))=0</formula>
    </cfRule>
  </conditionalFormatting>
  <conditionalFormatting sqref="C1091">
    <cfRule type="containsBlanks" dxfId="14" priority="22">
      <formula>LEN(TRIM(C1091))=0</formula>
    </cfRule>
    <cfRule type="containsBlanks" priority="23">
      <formula>LEN(TRIM(C1091))=0</formula>
    </cfRule>
  </conditionalFormatting>
  <conditionalFormatting sqref="C1092">
    <cfRule type="containsBlanks" dxfId="13" priority="20">
      <formula>LEN(TRIM(C1092))=0</formula>
    </cfRule>
    <cfRule type="containsBlanks" priority="21">
      <formula>LEN(TRIM(C1092))=0</formula>
    </cfRule>
  </conditionalFormatting>
  <conditionalFormatting sqref="C1093:C1101">
    <cfRule type="containsBlanks" dxfId="12" priority="18">
      <formula>LEN(TRIM(C1093))=0</formula>
    </cfRule>
    <cfRule type="containsBlanks" priority="19">
      <formula>LEN(TRIM(C1093))=0</formula>
    </cfRule>
  </conditionalFormatting>
  <conditionalFormatting sqref="C1104:C1105">
    <cfRule type="containsBlanks" dxfId="11" priority="16">
      <formula>LEN(TRIM(C1104))=0</formula>
    </cfRule>
    <cfRule type="containsBlanks" priority="17">
      <formula>LEN(TRIM(C1104))=0</formula>
    </cfRule>
  </conditionalFormatting>
  <conditionalFormatting sqref="B1357 B6:B363 B371:B1299 B365">
    <cfRule type="duplicateValues" dxfId="10" priority="11"/>
  </conditionalFormatting>
  <conditionalFormatting sqref="B366:B370">
    <cfRule type="duplicateValues" dxfId="9" priority="10"/>
  </conditionalFormatting>
  <conditionalFormatting sqref="B364">
    <cfRule type="duplicateValues" dxfId="8" priority="9"/>
  </conditionalFormatting>
  <conditionalFormatting sqref="B1300:B1344">
    <cfRule type="duplicateValues" dxfId="7" priority="1966"/>
  </conditionalFormatting>
  <conditionalFormatting sqref="B1345:B1348">
    <cfRule type="duplicateValues" dxfId="6" priority="7"/>
  </conditionalFormatting>
  <conditionalFormatting sqref="B1349">
    <cfRule type="duplicateValues" dxfId="5" priority="6"/>
  </conditionalFormatting>
  <conditionalFormatting sqref="B1350">
    <cfRule type="duplicateValues" dxfId="4" priority="5"/>
  </conditionalFormatting>
  <conditionalFormatting sqref="B1351">
    <cfRule type="duplicateValues" dxfId="3" priority="4"/>
  </conditionalFormatting>
  <conditionalFormatting sqref="B1353">
    <cfRule type="duplicateValues" dxfId="2" priority="3"/>
  </conditionalFormatting>
  <conditionalFormatting sqref="B1352">
    <cfRule type="duplicateValues" dxfId="1" priority="2"/>
  </conditionalFormatting>
  <conditionalFormatting sqref="B1354:B1356">
    <cfRule type="duplicateValues" dxfId="0" priority="1"/>
  </conditionalFormatting>
  <printOptions horizontalCentered="1"/>
  <pageMargins left="0.19685039370078741" right="0.19685039370078741" top="1.1811023622047245" bottom="0.59055118110236227" header="0.19685039370078741" footer="0.19685039370078741"/>
  <pageSetup paperSize="9" scale="53" fitToHeight="0" orientation="landscape" horizontalDpi="4294967295" verticalDpi="4294967295" r:id="rId1"/>
  <headerFooter>
    <oddHeader>&amp;C&amp;10&amp;G
Secretaria de Infraestrutura
Serviço de Orçamentos&amp;R&amp;10&amp;D</oddHeader>
    <oddFooter>&amp;C&amp;"Arial,Normal"&amp;8&amp;G
Senado Federal | Via N2 | Bloco 14 | CEP 70165-900 | Brasília-DF
Telefones: +55 (61) 3303-4760 / 4776 / 3470 | seorc@senado.leg.br&amp;R&amp;"Arial,Normal"&amp;8&amp;A
&amp;P /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8">
    <pageSetUpPr fitToPage="1"/>
  </sheetPr>
  <dimension ref="A1:E41"/>
  <sheetViews>
    <sheetView zoomScale="80" zoomScaleNormal="80" workbookViewId="0">
      <selection activeCell="F13" sqref="F13"/>
    </sheetView>
  </sheetViews>
  <sheetFormatPr defaultRowHeight="15" x14ac:dyDescent="0.25"/>
  <cols>
    <col min="1" max="1" width="30.7109375" customWidth="1"/>
    <col min="2" max="2" width="25.7109375" customWidth="1"/>
    <col min="3" max="3" width="5.5703125" customWidth="1"/>
    <col min="4" max="4" width="30.7109375" customWidth="1"/>
    <col min="5" max="5" width="25.7109375" customWidth="1"/>
  </cols>
  <sheetData>
    <row r="1" spans="1:5" ht="53.25" customHeight="1" x14ac:dyDescent="0.25">
      <c r="A1" s="135" t="str">
        <f>Orçamentária!A1</f>
        <v>Interligação da Central de Água Gelada (CAG) da Área Técnica 40 (AT40) com o Bloco 17 (BL17 – SAFIN/Serviço Médico)</v>
      </c>
      <c r="B1" s="124"/>
      <c r="C1" s="124"/>
      <c r="D1" s="124"/>
      <c r="E1" s="124"/>
    </row>
    <row r="2" spans="1:5" ht="24.95" customHeight="1" x14ac:dyDescent="0.25">
      <c r="A2" s="107" t="s">
        <v>3400</v>
      </c>
      <c r="B2" s="107"/>
      <c r="C2" s="107"/>
      <c r="D2" s="107"/>
      <c r="E2" s="107"/>
    </row>
    <row r="3" spans="1:5" ht="18" customHeight="1" thickBot="1" x14ac:dyDescent="0.3">
      <c r="A3" s="126"/>
      <c r="B3" s="126"/>
      <c r="C3" s="127"/>
      <c r="D3" s="126"/>
      <c r="E3" s="126"/>
    </row>
    <row r="4" spans="1:5" ht="24.95" customHeight="1" thickBot="1" x14ac:dyDescent="0.3">
      <c r="A4" s="203" t="s">
        <v>3401</v>
      </c>
      <c r="B4" s="204"/>
      <c r="C4" s="205"/>
      <c r="D4" s="203" t="s">
        <v>3402</v>
      </c>
      <c r="E4" s="204"/>
    </row>
    <row r="5" spans="1:5" ht="20.100000000000001" customHeight="1" x14ac:dyDescent="0.25">
      <c r="A5" s="242" t="s">
        <v>3403</v>
      </c>
      <c r="B5" s="206" t="s">
        <v>3404</v>
      </c>
      <c r="C5" s="207"/>
      <c r="D5" s="242" t="s">
        <v>3403</v>
      </c>
      <c r="E5" s="206" t="s">
        <v>3404</v>
      </c>
    </row>
    <row r="6" spans="1:5" ht="20.100000000000001" customHeight="1" x14ac:dyDescent="0.25">
      <c r="A6" s="243"/>
      <c r="B6" s="208" t="s">
        <v>3405</v>
      </c>
      <c r="C6" s="207"/>
      <c r="D6" s="243"/>
      <c r="E6" s="208" t="s">
        <v>3405</v>
      </c>
    </row>
    <row r="7" spans="1:5" ht="20.100000000000001" customHeight="1" x14ac:dyDescent="0.25">
      <c r="A7" s="244"/>
      <c r="B7" s="209" t="s">
        <v>3406</v>
      </c>
      <c r="C7" s="207"/>
      <c r="D7" s="244"/>
      <c r="E7" s="209" t="s">
        <v>3406</v>
      </c>
    </row>
    <row r="8" spans="1:5" ht="20.100000000000001" customHeight="1" x14ac:dyDescent="0.25">
      <c r="A8" s="210" t="s">
        <v>3407</v>
      </c>
      <c r="B8" s="128">
        <v>3.5000000000000003E-2</v>
      </c>
      <c r="C8" s="211"/>
      <c r="D8" s="210" t="s">
        <v>3407</v>
      </c>
      <c r="E8" s="128">
        <v>1.7500000000000002E-2</v>
      </c>
    </row>
    <row r="9" spans="1:5" ht="20.100000000000001" customHeight="1" x14ac:dyDescent="0.25">
      <c r="A9" s="210" t="s">
        <v>3408</v>
      </c>
      <c r="B9" s="128">
        <v>8.0000000000000002E-3</v>
      </c>
      <c r="C9" s="211"/>
      <c r="D9" s="210" t="s">
        <v>3408</v>
      </c>
      <c r="E9" s="128">
        <v>3.8999999999999998E-3</v>
      </c>
    </row>
    <row r="10" spans="1:5" ht="20.100000000000001" customHeight="1" x14ac:dyDescent="0.25">
      <c r="A10" s="210" t="s">
        <v>3409</v>
      </c>
      <c r="B10" s="128">
        <v>1.2500000000000001E-2</v>
      </c>
      <c r="C10" s="211"/>
      <c r="D10" s="210" t="s">
        <v>3409</v>
      </c>
      <c r="E10" s="128">
        <v>5.5999999999999999E-3</v>
      </c>
    </row>
    <row r="11" spans="1:5" ht="20.100000000000001" customHeight="1" x14ac:dyDescent="0.25">
      <c r="A11" s="210" t="s">
        <v>3410</v>
      </c>
      <c r="B11" s="128">
        <v>7.6E-3</v>
      </c>
      <c r="C11" s="211"/>
      <c r="D11" s="210" t="s">
        <v>3410</v>
      </c>
      <c r="E11" s="128">
        <v>8.5000000000000006E-3</v>
      </c>
    </row>
    <row r="12" spans="1:5" ht="20.100000000000001" customHeight="1" x14ac:dyDescent="0.25">
      <c r="A12" s="210" t="s">
        <v>105</v>
      </c>
      <c r="B12" s="128">
        <v>6.7799999999999999E-2</v>
      </c>
      <c r="C12" s="211"/>
      <c r="D12" s="210" t="s">
        <v>105</v>
      </c>
      <c r="E12" s="128">
        <v>3.5000000000000003E-2</v>
      </c>
    </row>
    <row r="13" spans="1:5" ht="20.100000000000001" customHeight="1" x14ac:dyDescent="0.25">
      <c r="A13" s="210" t="s">
        <v>3411</v>
      </c>
      <c r="B13" s="128">
        <v>6.4999999999999997E-3</v>
      </c>
      <c r="C13" s="211"/>
      <c r="D13" s="210" t="s">
        <v>3411</v>
      </c>
      <c r="E13" s="128">
        <v>6.4999999999999997E-3</v>
      </c>
    </row>
    <row r="14" spans="1:5" ht="20.100000000000001" customHeight="1" x14ac:dyDescent="0.25">
      <c r="A14" s="210" t="s">
        <v>3412</v>
      </c>
      <c r="B14" s="128">
        <v>0.03</v>
      </c>
      <c r="C14" s="211"/>
      <c r="D14" s="210" t="s">
        <v>3412</v>
      </c>
      <c r="E14" s="128">
        <v>0.03</v>
      </c>
    </row>
    <row r="15" spans="1:5" ht="20.100000000000001" customHeight="1" x14ac:dyDescent="0.25">
      <c r="A15" s="210" t="s">
        <v>3413</v>
      </c>
      <c r="B15" s="128">
        <v>0</v>
      </c>
      <c r="C15" s="211"/>
      <c r="D15" s="210" t="s">
        <v>3413</v>
      </c>
      <c r="E15" s="128">
        <v>0</v>
      </c>
    </row>
    <row r="16" spans="1:5" ht="20.100000000000001" customHeight="1" x14ac:dyDescent="0.25">
      <c r="A16" s="210" t="s">
        <v>3414</v>
      </c>
      <c r="B16" s="128">
        <v>0.01</v>
      </c>
      <c r="C16" s="211"/>
      <c r="D16" s="210" t="s">
        <v>3414</v>
      </c>
      <c r="E16" s="128">
        <v>0</v>
      </c>
    </row>
    <row r="17" spans="1:5" ht="24.95" customHeight="1" thickBot="1" x14ac:dyDescent="0.3">
      <c r="A17" s="212" t="s">
        <v>3401</v>
      </c>
      <c r="B17" s="213">
        <f>ROUND(((1+B8+B9+B10)*(1+B11)*(1+B12))/(1-(B13+B14+B15+B16))-1,4)</f>
        <v>0.191</v>
      </c>
      <c r="C17" s="211"/>
      <c r="D17" s="214" t="s">
        <v>3402</v>
      </c>
      <c r="E17" s="213">
        <f>ROUND(((1+E8+E9+E10)*(1+E11)*(1+E12))/(1-(E13+E14+E15+E16))-1,4)</f>
        <v>0.11260000000000001</v>
      </c>
    </row>
    <row r="18" spans="1:5" x14ac:dyDescent="0.25">
      <c r="A18" s="215"/>
      <c r="B18" s="211"/>
      <c r="C18" s="216"/>
      <c r="D18" s="215"/>
      <c r="E18" s="211"/>
    </row>
    <row r="19" spans="1:5" x14ac:dyDescent="0.25">
      <c r="A19" s="217"/>
      <c r="B19" s="218"/>
      <c r="C19" s="211"/>
      <c r="D19" s="217"/>
      <c r="E19" s="218"/>
    </row>
    <row r="20" spans="1:5" x14ac:dyDescent="0.25">
      <c r="A20" s="219"/>
      <c r="B20" s="219"/>
      <c r="C20" s="219"/>
      <c r="D20" s="220"/>
      <c r="E20" s="219"/>
    </row>
    <row r="21" spans="1:5" x14ac:dyDescent="0.25">
      <c r="A21" s="219"/>
      <c r="B21" s="219"/>
      <c r="C21" s="219"/>
      <c r="D21" s="219"/>
      <c r="E21" s="219"/>
    </row>
    <row r="22" spans="1:5" x14ac:dyDescent="0.25">
      <c r="A22" s="219"/>
      <c r="B22" s="219"/>
      <c r="C22" s="219"/>
      <c r="D22" s="219"/>
      <c r="E22" s="219"/>
    </row>
    <row r="23" spans="1:5" x14ac:dyDescent="0.25">
      <c r="A23" s="219"/>
      <c r="B23" s="219"/>
      <c r="C23" s="219"/>
      <c r="D23" s="219"/>
      <c r="E23" s="219"/>
    </row>
    <row r="24" spans="1:5" x14ac:dyDescent="0.25">
      <c r="A24" s="219"/>
      <c r="B24" s="219"/>
      <c r="C24" s="219"/>
      <c r="D24" s="219"/>
      <c r="E24" s="219"/>
    </row>
    <row r="25" spans="1:5" x14ac:dyDescent="0.25">
      <c r="A25" s="219"/>
      <c r="B25" s="219"/>
      <c r="C25" s="219"/>
      <c r="D25" s="219"/>
      <c r="E25" s="219"/>
    </row>
    <row r="26" spans="1:5" x14ac:dyDescent="0.25">
      <c r="A26" s="219"/>
      <c r="B26" s="219"/>
      <c r="C26" s="219"/>
      <c r="D26" s="219"/>
      <c r="E26" s="219"/>
    </row>
    <row r="27" spans="1:5" x14ac:dyDescent="0.25">
      <c r="A27" s="219"/>
      <c r="B27" s="219"/>
      <c r="C27" s="219"/>
      <c r="D27" s="219"/>
      <c r="E27" s="219"/>
    </row>
    <row r="28" spans="1:5" x14ac:dyDescent="0.25">
      <c r="A28" s="219"/>
      <c r="B28" s="219"/>
      <c r="C28" s="219"/>
      <c r="D28" s="219"/>
      <c r="E28" s="219"/>
    </row>
    <row r="29" spans="1:5" x14ac:dyDescent="0.25">
      <c r="A29" s="219"/>
      <c r="B29" s="219"/>
      <c r="C29" s="219"/>
      <c r="D29" s="219"/>
      <c r="E29" s="219"/>
    </row>
    <row r="30" spans="1:5" x14ac:dyDescent="0.25">
      <c r="A30" s="219"/>
      <c r="B30" s="219"/>
      <c r="C30" s="219"/>
      <c r="D30" s="219"/>
      <c r="E30" s="219"/>
    </row>
    <row r="31" spans="1:5" x14ac:dyDescent="0.25">
      <c r="A31" s="219"/>
      <c r="B31" s="219"/>
      <c r="C31" s="219"/>
      <c r="D31" s="219"/>
      <c r="E31" s="219"/>
    </row>
    <row r="32" spans="1:5" x14ac:dyDescent="0.25">
      <c r="A32" s="219"/>
      <c r="B32" s="219"/>
      <c r="C32" s="219"/>
      <c r="D32" s="219"/>
      <c r="E32" s="219"/>
    </row>
    <row r="33" spans="1:5" x14ac:dyDescent="0.25">
      <c r="A33" s="219"/>
      <c r="B33" s="219"/>
      <c r="C33" s="219"/>
      <c r="D33" s="219"/>
      <c r="E33" s="219"/>
    </row>
    <row r="34" spans="1:5" x14ac:dyDescent="0.25">
      <c r="A34" s="219"/>
      <c r="B34" s="219"/>
      <c r="C34" s="219"/>
      <c r="D34" s="219"/>
      <c r="E34" s="219"/>
    </row>
    <row r="35" spans="1:5" x14ac:dyDescent="0.25">
      <c r="A35" s="219"/>
      <c r="B35" s="219"/>
      <c r="C35" s="219"/>
      <c r="D35" s="219"/>
      <c r="E35" s="219"/>
    </row>
    <row r="36" spans="1:5" x14ac:dyDescent="0.25">
      <c r="A36" s="219"/>
      <c r="B36" s="219"/>
      <c r="C36" s="219"/>
      <c r="D36" s="219"/>
      <c r="E36" s="219"/>
    </row>
    <row r="37" spans="1:5" x14ac:dyDescent="0.25">
      <c r="A37" s="219"/>
      <c r="B37" s="219"/>
      <c r="C37" s="219"/>
      <c r="D37" s="219"/>
      <c r="E37" s="219"/>
    </row>
    <row r="38" spans="1:5" x14ac:dyDescent="0.25">
      <c r="A38" s="219"/>
      <c r="B38" s="219"/>
      <c r="C38" s="219"/>
      <c r="D38" s="219"/>
      <c r="E38" s="219"/>
    </row>
    <row r="39" spans="1:5" ht="15.75" x14ac:dyDescent="0.25">
      <c r="A39" s="245" t="s">
        <v>3415</v>
      </c>
      <c r="B39" s="245"/>
      <c r="C39" s="245"/>
      <c r="D39" s="245"/>
      <c r="E39" s="245"/>
    </row>
    <row r="40" spans="1:5" x14ac:dyDescent="0.25">
      <c r="A40" s="117"/>
      <c r="B40" s="117"/>
      <c r="C40" s="117"/>
      <c r="D40" s="117"/>
      <c r="E40" s="117"/>
    </row>
    <row r="41" spans="1:5" x14ac:dyDescent="0.25">
      <c r="A41" s="117"/>
      <c r="B41" s="117"/>
      <c r="C41" s="117"/>
      <c r="D41" s="117"/>
      <c r="E41" s="117"/>
    </row>
  </sheetData>
  <sheetProtection algorithmName="SHA-512" hashValue="rXgmbasVgwuBlcMG9xAVn4oAesUY2xokxLl2ZkQfRDrm84xhsQBwHPxICUbKaTzsq99gk0LFClKUHjUYU+DhOQ==" saltValue="cM5rHeitLF5NcQRxV9djFw==" spinCount="100000" sheet="1" objects="1" scenarios="1"/>
  <mergeCells count="3">
    <mergeCell ref="A5:A7"/>
    <mergeCell ref="D5:D7"/>
    <mergeCell ref="A39:E39"/>
  </mergeCells>
  <printOptions horizontalCentered="1"/>
  <pageMargins left="0.19685039370078741" right="0.19685039370078741" top="1.3779527559055118" bottom="0.59055118110236227" header="0.19685039370078741" footer="0.19685039370078741"/>
  <pageSetup paperSize="9" scale="53" orientation="landscape" horizontalDpi="4294967295" verticalDpi="4294967295" r:id="rId1"/>
  <headerFooter>
    <oddHeader>&amp;C&amp;10&amp;G
Secretaria de Infraestrutura
Serviço de Orçamentos&amp;R&amp;10&amp;D</oddHeader>
    <oddFooter>&amp;C&amp;"Arial,Normal"&amp;8&amp;G
Senado Federal | Via N2 | Bloco 14 | CEP 70165-900 | Brasília-DF
Telefones: +55 (61) 3303-4760 / 4776 / 3470 | seorc@senado.leg.br&amp;R&amp;"Arial,Normal"&amp;8&amp;A
&amp;P / &amp;N</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8</vt:i4>
      </vt:variant>
    </vt:vector>
  </HeadingPairs>
  <TitlesOfParts>
    <vt:vector size="13" baseType="lpstr">
      <vt:lpstr>Composições</vt:lpstr>
      <vt:lpstr>Comp.Aux1</vt:lpstr>
      <vt:lpstr>Comp.Aux2</vt:lpstr>
      <vt:lpstr>Orçamentária</vt:lpstr>
      <vt:lpstr>BDI</vt:lpstr>
      <vt:lpstr>Comp.Aux1!Area_de_impressao</vt:lpstr>
      <vt:lpstr>Comp.Aux2!Area_de_impressao</vt:lpstr>
      <vt:lpstr>Composições!Area_de_impressao</vt:lpstr>
      <vt:lpstr>Orçamentária!Area_de_impressao</vt:lpstr>
      <vt:lpstr>Comp.Aux1!Titulos_de_impressao</vt:lpstr>
      <vt:lpstr>Comp.Aux2!Titulos_de_impressao</vt:lpstr>
      <vt:lpstr>Composições!Titulos_de_impressao</vt:lpstr>
      <vt:lpstr>Orçamentária!Titulos_de_impressao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Thauler</dc:creator>
  <cp:lastModifiedBy>Juliana Sá de Almeida</cp:lastModifiedBy>
  <cp:lastPrinted>2021-06-07T21:16:05Z</cp:lastPrinted>
  <dcterms:created xsi:type="dcterms:W3CDTF">2020-07-07T13:57:42Z</dcterms:created>
  <dcterms:modified xsi:type="dcterms:W3CDTF">2021-07-13T17:39:14Z</dcterms:modified>
</cp:coreProperties>
</file>